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2.xml" ContentType="application/vnd.openxmlformats-officedocument.spreadsheetml.comments+xml"/>
  <Override PartName="/xl/tables/table7.xml" ContentType="application/vnd.openxmlformats-officedocument.spreadsheetml.table+xml"/>
  <Override PartName="/xl/comments3.xml" ContentType="application/vnd.openxmlformats-officedocument.spreadsheetml.comments+xml"/>
  <Override PartName="/xl/tables/table8.xml" ContentType="application/vnd.openxmlformats-officedocument.spreadsheetml.table+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ahfc\dfs\mortgage\Operations\Special Access\Condo Information\Budgeting - Reserve Funding Analysis &amp; Info\"/>
    </mc:Choice>
  </mc:AlternateContent>
  <bookViews>
    <workbookView xWindow="360" yWindow="396" windowWidth="11328" windowHeight="5988" tabRatio="892"/>
  </bookViews>
  <sheets>
    <sheet name="Instructions" sheetId="28" r:id="rId1"/>
    <sheet name="BUDGET" sheetId="27" r:id="rId2"/>
    <sheet name="BUDGET - Example" sheetId="34" r:id="rId3"/>
    <sheet name="RESERVE ANALYSIS" sheetId="31" r:id="rId4"/>
    <sheet name="RESERVE ANALYSIS - Example" sheetId="32" r:id="rId5"/>
  </sheets>
  <definedNames>
    <definedName name="_xlnm.Print_Area" localSheetId="1">BUDGET!$A$1:$G$73</definedName>
    <definedName name="_xlnm.Print_Area" localSheetId="2">'BUDGET - Example'!$A$1:$H$70</definedName>
  </definedNames>
  <calcPr calcId="152511"/>
</workbook>
</file>

<file path=xl/calcChain.xml><?xml version="1.0" encoding="utf-8"?>
<calcChain xmlns="http://schemas.openxmlformats.org/spreadsheetml/2006/main">
  <c r="A62" i="27" l="1"/>
  <c r="A63" i="27"/>
  <c r="B62" i="27"/>
  <c r="E62" i="27"/>
  <c r="G62" i="27"/>
  <c r="A57" i="27"/>
  <c r="A58" i="27"/>
  <c r="A59" i="27"/>
  <c r="A60" i="27"/>
  <c r="A61" i="27"/>
  <c r="B61" i="27"/>
  <c r="E61" i="27"/>
  <c r="G61" i="27" s="1"/>
  <c r="B57" i="27"/>
  <c r="E57" i="27"/>
  <c r="G57" i="27" s="1"/>
  <c r="B58" i="27"/>
  <c r="E58" i="27"/>
  <c r="B59" i="27"/>
  <c r="E59" i="27"/>
  <c r="G59" i="27" s="1"/>
  <c r="B60" i="27"/>
  <c r="E60" i="27"/>
  <c r="A44" i="27"/>
  <c r="A45" i="27"/>
  <c r="A46" i="27"/>
  <c r="A47" i="27"/>
  <c r="A48" i="27"/>
  <c r="G58" i="27" l="1"/>
  <c r="G60" i="27"/>
  <c r="F39" i="27"/>
  <c r="K6" i="32" l="1"/>
  <c r="F38" i="34"/>
  <c r="D60" i="34" l="1"/>
  <c r="D62" i="34" s="1"/>
  <c r="F57" i="34"/>
  <c r="F60" i="34" s="1"/>
  <c r="F62" i="34" s="1"/>
  <c r="D57" i="34"/>
  <c r="C57" i="34"/>
  <c r="C60" i="34" s="1"/>
  <c r="C62" i="34" s="1"/>
  <c r="E56" i="34"/>
  <c r="B56" i="34"/>
  <c r="A56" i="34"/>
  <c r="E55" i="34"/>
  <c r="B55" i="34"/>
  <c r="A55" i="34"/>
  <c r="E54" i="34"/>
  <c r="B54" i="34"/>
  <c r="A54" i="34"/>
  <c r="E53" i="34"/>
  <c r="B53" i="34"/>
  <c r="A53" i="34"/>
  <c r="E52" i="34"/>
  <c r="B52" i="34"/>
  <c r="A52" i="34"/>
  <c r="E51" i="34"/>
  <c r="B51" i="34"/>
  <c r="A51" i="34"/>
  <c r="E50" i="34"/>
  <c r="B50" i="34"/>
  <c r="A50" i="34"/>
  <c r="E49" i="34"/>
  <c r="B49" i="34"/>
  <c r="A49" i="34"/>
  <c r="E48" i="34"/>
  <c r="B48" i="34"/>
  <c r="E47" i="34"/>
  <c r="B47" i="34"/>
  <c r="E46" i="34"/>
  <c r="B46" i="34"/>
  <c r="E45" i="34"/>
  <c r="B45" i="34"/>
  <c r="E44" i="34"/>
  <c r="B44" i="34"/>
  <c r="E43" i="34"/>
  <c r="B43" i="34"/>
  <c r="E42" i="34"/>
  <c r="B42" i="34"/>
  <c r="D38" i="34"/>
  <c r="C38" i="34"/>
  <c r="E37" i="34"/>
  <c r="B37" i="34"/>
  <c r="E36" i="34"/>
  <c r="B36" i="34"/>
  <c r="E35" i="34"/>
  <c r="B35" i="34"/>
  <c r="E34" i="34"/>
  <c r="B34" i="34"/>
  <c r="E33" i="34"/>
  <c r="B33" i="34"/>
  <c r="E32" i="34"/>
  <c r="B32" i="34"/>
  <c r="E31" i="34"/>
  <c r="B31" i="34"/>
  <c r="E30" i="34"/>
  <c r="B30" i="34"/>
  <c r="E29" i="34"/>
  <c r="B29" i="34"/>
  <c r="E28" i="34"/>
  <c r="B28" i="34"/>
  <c r="E27" i="34"/>
  <c r="B27" i="34"/>
  <c r="E26" i="34"/>
  <c r="B26" i="34"/>
  <c r="E25" i="34"/>
  <c r="B25" i="34"/>
  <c r="E24" i="34"/>
  <c r="B24" i="34"/>
  <c r="E23" i="34"/>
  <c r="B23" i="34"/>
  <c r="F18" i="34"/>
  <c r="D18" i="34"/>
  <c r="C18" i="34"/>
  <c r="E17" i="34"/>
  <c r="B17" i="34"/>
  <c r="E16" i="34"/>
  <c r="B16" i="34"/>
  <c r="E15" i="34"/>
  <c r="B15" i="34"/>
  <c r="E14" i="34"/>
  <c r="B14" i="34"/>
  <c r="E13" i="34"/>
  <c r="B13" i="34"/>
  <c r="E12" i="34"/>
  <c r="B12" i="34"/>
  <c r="E11" i="34"/>
  <c r="B11" i="34"/>
  <c r="E10" i="34"/>
  <c r="B10" i="34"/>
  <c r="G10" i="34" s="1"/>
  <c r="E9" i="34"/>
  <c r="B9" i="34"/>
  <c r="E8" i="34"/>
  <c r="B8" i="34"/>
  <c r="G34" i="34" l="1"/>
  <c r="G36" i="34"/>
  <c r="G50" i="34"/>
  <c r="G54" i="34"/>
  <c r="G12" i="34"/>
  <c r="G52" i="34"/>
  <c r="G56" i="34"/>
  <c r="G37" i="34"/>
  <c r="G16" i="34"/>
  <c r="B18" i="34"/>
  <c r="E38" i="34"/>
  <c r="G2" i="34" s="1"/>
  <c r="G9" i="34"/>
  <c r="G11" i="34"/>
  <c r="G24" i="34"/>
  <c r="G32" i="34"/>
  <c r="G31" i="34"/>
  <c r="B38" i="34"/>
  <c r="G29" i="34"/>
  <c r="G28" i="34"/>
  <c r="G8" i="34"/>
  <c r="G26" i="34"/>
  <c r="F59" i="34"/>
  <c r="F66" i="34" s="1"/>
  <c r="G48" i="34"/>
  <c r="G46" i="34"/>
  <c r="G45" i="34"/>
  <c r="D59" i="34"/>
  <c r="D66" i="34" s="1"/>
  <c r="C59" i="34"/>
  <c r="C66" i="34" s="1"/>
  <c r="G13" i="34"/>
  <c r="G14" i="34"/>
  <c r="G17" i="34"/>
  <c r="G25" i="34"/>
  <c r="G27" i="34"/>
  <c r="G43" i="34"/>
  <c r="G49" i="34"/>
  <c r="G53" i="34"/>
  <c r="G30" i="34"/>
  <c r="G33" i="34"/>
  <c r="G35" i="34"/>
  <c r="G44" i="34"/>
  <c r="G47" i="34"/>
  <c r="G51" i="34"/>
  <c r="G55" i="34"/>
  <c r="E18" i="34"/>
  <c r="G15" i="34"/>
  <c r="G23" i="34"/>
  <c r="G42" i="34"/>
  <c r="E57" i="34"/>
  <c r="B57" i="34"/>
  <c r="A49" i="27"/>
  <c r="A50" i="27"/>
  <c r="A51" i="27"/>
  <c r="A52" i="27"/>
  <c r="A53" i="27"/>
  <c r="A54" i="27"/>
  <c r="A55" i="27"/>
  <c r="A56" i="27"/>
  <c r="E59" i="34" l="1"/>
  <c r="E66" i="34" s="1"/>
  <c r="G3" i="34"/>
  <c r="G4" i="34" s="1"/>
  <c r="G18" i="34"/>
  <c r="B59" i="34"/>
  <c r="B66" i="34" s="1"/>
  <c r="G38" i="34"/>
  <c r="E60" i="34"/>
  <c r="E62" i="34" s="1"/>
  <c r="G57" i="34"/>
  <c r="G60" i="34" s="1"/>
  <c r="G62" i="34" s="1"/>
  <c r="B60" i="34"/>
  <c r="B62" i="34" s="1"/>
  <c r="G59" i="34" l="1"/>
  <c r="G66" i="34" s="1"/>
  <c r="E44" i="27"/>
  <c r="E45" i="27"/>
  <c r="E46" i="27"/>
  <c r="E47" i="27"/>
  <c r="E48" i="27"/>
  <c r="E49" i="27"/>
  <c r="E50" i="27"/>
  <c r="E51" i="27"/>
  <c r="E52" i="27"/>
  <c r="E53" i="27"/>
  <c r="E54" i="27"/>
  <c r="E55" i="27"/>
  <c r="E56" i="27"/>
  <c r="E63" i="27"/>
  <c r="E43" i="27"/>
  <c r="E25" i="27"/>
  <c r="E26" i="27"/>
  <c r="E27" i="27"/>
  <c r="E28" i="27"/>
  <c r="E29" i="27"/>
  <c r="E30" i="27"/>
  <c r="E31" i="27"/>
  <c r="E32" i="27"/>
  <c r="E33" i="27"/>
  <c r="E34" i="27"/>
  <c r="E35" i="27"/>
  <c r="E36" i="27"/>
  <c r="E37" i="27"/>
  <c r="E38" i="27"/>
  <c r="B50" i="27"/>
  <c r="B51" i="27"/>
  <c r="B52" i="27"/>
  <c r="B53" i="27"/>
  <c r="B54" i="27"/>
  <c r="B55" i="27"/>
  <c r="B56" i="27"/>
  <c r="B63" i="27"/>
  <c r="B31" i="27"/>
  <c r="B32" i="27"/>
  <c r="B33" i="27"/>
  <c r="B34" i="27"/>
  <c r="B35" i="27"/>
  <c r="B36" i="27"/>
  <c r="B37" i="27"/>
  <c r="B38" i="27"/>
  <c r="B14" i="27"/>
  <c r="B15" i="27"/>
  <c r="E14" i="27"/>
  <c r="E15" i="27"/>
  <c r="B10" i="27"/>
  <c r="B11" i="27"/>
  <c r="B12" i="27"/>
  <c r="B13" i="27"/>
  <c r="B16" i="27"/>
  <c r="B17" i="27"/>
  <c r="B18" i="27"/>
  <c r="E10" i="27"/>
  <c r="E11" i="27"/>
  <c r="E12" i="27"/>
  <c r="E13" i="27"/>
  <c r="E16" i="27"/>
  <c r="E17" i="27"/>
  <c r="E18" i="27"/>
  <c r="H20" i="32"/>
  <c r="E20" i="32"/>
  <c r="K19" i="32"/>
  <c r="F19" i="32"/>
  <c r="G19" i="32" s="1"/>
  <c r="D19" i="32"/>
  <c r="L19" i="32" s="1"/>
  <c r="K18" i="32"/>
  <c r="F18" i="32"/>
  <c r="G18" i="32" s="1"/>
  <c r="D18" i="32"/>
  <c r="L18" i="32" s="1"/>
  <c r="K17" i="32"/>
  <c r="F17" i="32"/>
  <c r="G17" i="32" s="1"/>
  <c r="I17" i="32" s="1"/>
  <c r="D17" i="32"/>
  <c r="L17" i="32" s="1"/>
  <c r="K16" i="32"/>
  <c r="F16" i="32"/>
  <c r="G16" i="32" s="1"/>
  <c r="D16" i="32"/>
  <c r="K15" i="32"/>
  <c r="F15" i="32"/>
  <c r="G15" i="32" s="1"/>
  <c r="D15" i="32"/>
  <c r="K14" i="32"/>
  <c r="F14" i="32"/>
  <c r="G14" i="32" s="1"/>
  <c r="D14" i="32"/>
  <c r="K13" i="32"/>
  <c r="G13" i="32"/>
  <c r="J13" i="32" s="1"/>
  <c r="F13" i="32"/>
  <c r="D13" i="32"/>
  <c r="L13" i="32" s="1"/>
  <c r="K12" i="32"/>
  <c r="L12" i="32" s="1"/>
  <c r="F12" i="32"/>
  <c r="G12" i="32" s="1"/>
  <c r="D12" i="32"/>
  <c r="K11" i="32"/>
  <c r="F11" i="32"/>
  <c r="G11" i="32" s="1"/>
  <c r="D11" i="32"/>
  <c r="L11" i="32" s="1"/>
  <c r="K10" i="32"/>
  <c r="F10" i="32"/>
  <c r="G10" i="32" s="1"/>
  <c r="D10" i="32"/>
  <c r="L10" i="32" s="1"/>
  <c r="K9" i="32"/>
  <c r="F9" i="32"/>
  <c r="G9" i="32" s="1"/>
  <c r="I9" i="32" s="1"/>
  <c r="D9" i="32"/>
  <c r="L9" i="32" s="1"/>
  <c r="K8" i="32"/>
  <c r="F8" i="32"/>
  <c r="G8" i="32" s="1"/>
  <c r="D8" i="32"/>
  <c r="K7" i="32"/>
  <c r="K20" i="32" s="1"/>
  <c r="F7" i="32"/>
  <c r="G7" i="32" s="1"/>
  <c r="D7" i="32"/>
  <c r="F6" i="32"/>
  <c r="F20" i="32" s="1"/>
  <c r="D3" i="32" s="1"/>
  <c r="D6" i="32"/>
  <c r="L6" i="32" s="1"/>
  <c r="H27" i="31"/>
  <c r="E27" i="31"/>
  <c r="K26" i="31"/>
  <c r="F26" i="31"/>
  <c r="G26" i="31" s="1"/>
  <c r="D26" i="31"/>
  <c r="K25" i="31"/>
  <c r="F25" i="31"/>
  <c r="G25" i="31" s="1"/>
  <c r="D25" i="31"/>
  <c r="L25" i="31" s="1"/>
  <c r="K24" i="31"/>
  <c r="F24" i="31"/>
  <c r="G24" i="31" s="1"/>
  <c r="D24" i="31"/>
  <c r="K23" i="31"/>
  <c r="F23" i="31"/>
  <c r="G23" i="31" s="1"/>
  <c r="I23" i="31" s="1"/>
  <c r="D23" i="31"/>
  <c r="K22" i="31"/>
  <c r="L22" i="31" s="1"/>
  <c r="F22" i="31"/>
  <c r="G22" i="31" s="1"/>
  <c r="D22" i="31"/>
  <c r="K21" i="31"/>
  <c r="F21" i="31"/>
  <c r="G21" i="31" s="1"/>
  <c r="D21" i="31"/>
  <c r="K20" i="31"/>
  <c r="F20" i="31"/>
  <c r="G20" i="31" s="1"/>
  <c r="D20" i="31"/>
  <c r="L20" i="31" s="1"/>
  <c r="K19" i="31"/>
  <c r="F19" i="31"/>
  <c r="G19" i="31" s="1"/>
  <c r="I19" i="31" s="1"/>
  <c r="D19" i="31"/>
  <c r="K18" i="31"/>
  <c r="F18" i="31"/>
  <c r="G18" i="31" s="1"/>
  <c r="D18" i="31"/>
  <c r="K17" i="31"/>
  <c r="F17" i="31"/>
  <c r="G17" i="31" s="1"/>
  <c r="D17" i="31"/>
  <c r="L17" i="31" s="1"/>
  <c r="K16" i="31"/>
  <c r="F16" i="31"/>
  <c r="G16" i="31" s="1"/>
  <c r="D16" i="31"/>
  <c r="K15" i="31"/>
  <c r="F15" i="31"/>
  <c r="G15" i="31" s="1"/>
  <c r="I15" i="31" s="1"/>
  <c r="D15" i="31"/>
  <c r="K14" i="31"/>
  <c r="L14" i="31" s="1"/>
  <c r="F14" i="31"/>
  <c r="G14" i="31" s="1"/>
  <c r="D14" i="31"/>
  <c r="K13" i="31"/>
  <c r="F13" i="31"/>
  <c r="G13" i="31" s="1"/>
  <c r="D13" i="31"/>
  <c r="K12" i="31"/>
  <c r="F12" i="31"/>
  <c r="G12" i="31" s="1"/>
  <c r="D12" i="31"/>
  <c r="L12" i="31" s="1"/>
  <c r="K11" i="31"/>
  <c r="F11" i="31"/>
  <c r="G11" i="31" s="1"/>
  <c r="I11" i="31" s="1"/>
  <c r="D11" i="31"/>
  <c r="K10" i="31"/>
  <c r="F10" i="31"/>
  <c r="G10" i="31" s="1"/>
  <c r="D10" i="31"/>
  <c r="K9" i="31"/>
  <c r="F9" i="31"/>
  <c r="G9" i="31" s="1"/>
  <c r="D9" i="31"/>
  <c r="L9" i="31" s="1"/>
  <c r="K8" i="31"/>
  <c r="F8" i="31"/>
  <c r="G8" i="31" s="1"/>
  <c r="J8" i="31" s="1"/>
  <c r="D8" i="31"/>
  <c r="L8" i="31" s="1"/>
  <c r="K7" i="31"/>
  <c r="F7" i="31"/>
  <c r="G7" i="31" s="1"/>
  <c r="I7" i="31" s="1"/>
  <c r="D7" i="31"/>
  <c r="K6" i="31"/>
  <c r="F6" i="31"/>
  <c r="G6" i="31" s="1"/>
  <c r="D6" i="31"/>
  <c r="L11" i="31" l="1"/>
  <c r="L15" i="31"/>
  <c r="L19" i="31"/>
  <c r="L23" i="31"/>
  <c r="L6" i="31"/>
  <c r="L7" i="31"/>
  <c r="G10" i="27"/>
  <c r="G13" i="27"/>
  <c r="G16" i="27"/>
  <c r="G18" i="27"/>
  <c r="G12" i="27"/>
  <c r="G34" i="27"/>
  <c r="L18" i="31"/>
  <c r="L24" i="31"/>
  <c r="L26" i="31"/>
  <c r="L7" i="32"/>
  <c r="L15" i="32"/>
  <c r="K27" i="31"/>
  <c r="L10" i="31"/>
  <c r="L16" i="31"/>
  <c r="I8" i="31"/>
  <c r="L13" i="31"/>
  <c r="L21" i="31"/>
  <c r="L8" i="32"/>
  <c r="L14" i="32"/>
  <c r="L20" i="32" s="1"/>
  <c r="J3" i="32" s="1"/>
  <c r="L16" i="32"/>
  <c r="G35" i="27"/>
  <c r="G31" i="27"/>
  <c r="G53" i="27"/>
  <c r="G55" i="27"/>
  <c r="G51" i="27"/>
  <c r="G54" i="27"/>
  <c r="G50" i="27"/>
  <c r="G63" i="27"/>
  <c r="G56" i="27"/>
  <c r="G52" i="27"/>
  <c r="G17" i="27"/>
  <c r="G14" i="27"/>
  <c r="G15" i="27"/>
  <c r="G38" i="27"/>
  <c r="G37" i="27"/>
  <c r="G33" i="27"/>
  <c r="G36" i="27"/>
  <c r="G32" i="27"/>
  <c r="G11" i="27"/>
  <c r="J11" i="32"/>
  <c r="I11" i="32"/>
  <c r="I8" i="32"/>
  <c r="J8" i="32"/>
  <c r="I10" i="32"/>
  <c r="J10" i="32"/>
  <c r="J7" i="32"/>
  <c r="I7" i="32"/>
  <c r="I15" i="32"/>
  <c r="J15" i="32"/>
  <c r="J12" i="32"/>
  <c r="I12" i="32"/>
  <c r="J14" i="32"/>
  <c r="I14" i="32"/>
  <c r="J19" i="32"/>
  <c r="I19" i="32"/>
  <c r="I18" i="32"/>
  <c r="J18" i="32"/>
  <c r="J16" i="32"/>
  <c r="I16" i="32"/>
  <c r="J9" i="32"/>
  <c r="J17" i="32"/>
  <c r="G6" i="32"/>
  <c r="I13" i="32"/>
  <c r="J20" i="31"/>
  <c r="I20" i="31"/>
  <c r="I17" i="31"/>
  <c r="J17" i="31"/>
  <c r="J14" i="31"/>
  <c r="I14" i="31"/>
  <c r="J16" i="31"/>
  <c r="I16" i="31"/>
  <c r="J22" i="31"/>
  <c r="I22" i="31"/>
  <c r="J24" i="31"/>
  <c r="I24" i="31"/>
  <c r="J13" i="31"/>
  <c r="I13" i="31"/>
  <c r="J21" i="31"/>
  <c r="I21" i="31"/>
  <c r="J10" i="31"/>
  <c r="I10" i="31"/>
  <c r="J12" i="31"/>
  <c r="I12" i="31"/>
  <c r="J18" i="31"/>
  <c r="I18" i="31"/>
  <c r="J26" i="31"/>
  <c r="I26" i="31"/>
  <c r="G27" i="31"/>
  <c r="J27" i="31" s="1"/>
  <c r="J6" i="31"/>
  <c r="I6" i="31"/>
  <c r="J9" i="31"/>
  <c r="I9" i="31"/>
  <c r="J25" i="31"/>
  <c r="I25" i="31"/>
  <c r="J7" i="31"/>
  <c r="J11" i="31"/>
  <c r="J15" i="31"/>
  <c r="J19" i="31"/>
  <c r="J23" i="31"/>
  <c r="F27" i="31"/>
  <c r="D3" i="31" s="1"/>
  <c r="L27" i="31" l="1"/>
  <c r="J3" i="31" s="1"/>
  <c r="I6" i="32"/>
  <c r="I20" i="32" s="1"/>
  <c r="G20" i="32"/>
  <c r="J20" i="32" s="1"/>
  <c r="J6" i="32"/>
  <c r="I27" i="31"/>
  <c r="D67" i="27" l="1"/>
  <c r="B44" i="27" l="1"/>
  <c r="G44" i="27" s="1"/>
  <c r="E24" i="27" l="1"/>
  <c r="E39" i="27" s="1"/>
  <c r="G3" i="27" s="1"/>
  <c r="E9" i="27"/>
  <c r="D64" i="27" l="1"/>
  <c r="B26" i="27" l="1"/>
  <c r="G26" i="27" s="1"/>
  <c r="B27" i="27"/>
  <c r="G27" i="27" s="1"/>
  <c r="B28" i="27"/>
  <c r="G28" i="27" s="1"/>
  <c r="B29" i="27"/>
  <c r="G29" i="27" s="1"/>
  <c r="B30" i="27"/>
  <c r="G30" i="27" s="1"/>
  <c r="B24" i="27"/>
  <c r="G24" i="27" s="1"/>
  <c r="B25" i="27"/>
  <c r="G25" i="27" s="1"/>
  <c r="B9" i="27"/>
  <c r="C19" i="27" l="1"/>
  <c r="D19" i="27"/>
  <c r="F19" i="27"/>
  <c r="D39" i="27"/>
  <c r="D66" i="27" s="1"/>
  <c r="C39" i="27"/>
  <c r="D73" i="27" l="1"/>
  <c r="B39" i="27"/>
  <c r="B19" i="27" l="1"/>
  <c r="E19" i="27"/>
  <c r="G9" i="27"/>
  <c r="G19" i="27" l="1"/>
  <c r="B49" i="27" l="1"/>
  <c r="G49" i="27" s="1"/>
  <c r="B48" i="27" l="1"/>
  <c r="G48" i="27" s="1"/>
  <c r="B46" i="27"/>
  <c r="G46" i="27" s="1"/>
  <c r="B47" i="27"/>
  <c r="G47" i="27" s="1"/>
  <c r="B45" i="27"/>
  <c r="G45" i="27" s="1"/>
  <c r="C64" i="27" l="1"/>
  <c r="C66" i="27" s="1"/>
  <c r="C73" i="27" s="1"/>
  <c r="B43" i="27"/>
  <c r="B64" i="27" l="1"/>
  <c r="B66" i="27" s="1"/>
  <c r="B73" i="27" s="1"/>
  <c r="G43" i="27"/>
  <c r="F64" i="27"/>
  <c r="F67" i="27" l="1"/>
  <c r="F69" i="27" s="1"/>
  <c r="E64" i="27"/>
  <c r="G4" i="27" s="1"/>
  <c r="G5" i="27" s="1"/>
  <c r="G64" i="27"/>
  <c r="F66" i="27"/>
  <c r="F73" i="27" s="1"/>
  <c r="D69" i="27"/>
  <c r="C67" i="27"/>
  <c r="C69" i="27" s="1"/>
  <c r="E67" i="27" l="1"/>
  <c r="E69" i="27" s="1"/>
  <c r="E66" i="27"/>
  <c r="E73" i="27" s="1"/>
  <c r="G39" i="27"/>
  <c r="G66" i="27" s="1"/>
  <c r="G73" i="27" s="1"/>
  <c r="G67" i="27"/>
  <c r="G69" i="27" s="1"/>
  <c r="B67" i="27"/>
  <c r="B69" i="27" s="1"/>
</calcChain>
</file>

<file path=xl/comments1.xml><?xml version="1.0" encoding="utf-8"?>
<comments xmlns="http://schemas.openxmlformats.org/spreadsheetml/2006/main">
  <authors>
    <author>Roger Helmer</author>
  </authors>
  <commentList>
    <comment ref="B3" authorId="0" shapeId="0">
      <text>
        <r>
          <rPr>
            <b/>
            <sz val="9"/>
            <color indexed="81"/>
            <rFont val="Tahoma"/>
            <family val="2"/>
          </rPr>
          <t>Enter year date only.</t>
        </r>
        <r>
          <rPr>
            <sz val="9"/>
            <color indexed="81"/>
            <rFont val="Tahoma"/>
            <family val="2"/>
          </rPr>
          <t xml:space="preserve">
</t>
        </r>
      </text>
    </comment>
    <comment ref="G3" authorId="0" shapeId="0">
      <text>
        <r>
          <rPr>
            <b/>
            <sz val="9"/>
            <color indexed="81"/>
            <rFont val="Tahoma"/>
            <family val="2"/>
          </rPr>
          <t>Per unit monthly amount will be entered automatically.</t>
        </r>
        <r>
          <rPr>
            <sz val="9"/>
            <color indexed="81"/>
            <rFont val="Tahoma"/>
            <family val="2"/>
          </rPr>
          <t xml:space="preserve">
</t>
        </r>
      </text>
    </comment>
    <comment ref="B4" authorId="0" shapeId="0">
      <text>
        <r>
          <rPr>
            <b/>
            <sz val="9"/>
            <color indexed="81"/>
            <rFont val="Tahoma"/>
            <family val="2"/>
          </rPr>
          <t>Enter year date only.</t>
        </r>
        <r>
          <rPr>
            <sz val="9"/>
            <color indexed="81"/>
            <rFont val="Tahoma"/>
            <family val="2"/>
          </rPr>
          <t xml:space="preserve">
</t>
        </r>
      </text>
    </comment>
    <comment ref="E4" authorId="0" shapeId="0">
      <text>
        <r>
          <rPr>
            <b/>
            <sz val="9"/>
            <color indexed="81"/>
            <rFont val="Tahoma"/>
            <family val="2"/>
          </rPr>
          <t xml:space="preserve">Examples:
</t>
        </r>
        <r>
          <rPr>
            <sz val="9"/>
            <color indexed="81"/>
            <rFont val="Tahoma"/>
            <family val="2"/>
          </rPr>
          <t xml:space="preserve">
Jan. thru Dec.  
Or
Jul. thru Jun.
Or
Oct. thru Sept.</t>
        </r>
      </text>
    </comment>
    <comment ref="G4" authorId="0" shapeId="0">
      <text>
        <r>
          <rPr>
            <b/>
            <sz val="9"/>
            <color indexed="81"/>
            <rFont val="Tahoma"/>
            <family val="2"/>
          </rPr>
          <t>Per unit monthly amount will be entered automatically.</t>
        </r>
        <r>
          <rPr>
            <sz val="9"/>
            <color indexed="81"/>
            <rFont val="Tahoma"/>
            <family val="2"/>
          </rPr>
          <t xml:space="preserve">
</t>
        </r>
      </text>
    </comment>
    <comment ref="A9" authorId="0" shapeId="0">
      <text>
        <r>
          <rPr>
            <b/>
            <sz val="9"/>
            <color indexed="81"/>
            <rFont val="Tahoma"/>
            <family val="2"/>
          </rPr>
          <t>Roger Helmer:</t>
        </r>
        <r>
          <rPr>
            <sz val="9"/>
            <color indexed="81"/>
            <rFont val="Tahoma"/>
            <family val="2"/>
          </rPr>
          <t xml:space="preserve">
</t>
        </r>
      </text>
    </comment>
    <comment ref="A42" authorId="0" shapeId="0">
      <text>
        <r>
          <rPr>
            <sz val="9"/>
            <color indexed="81"/>
            <rFont val="Tahoma"/>
            <family val="2"/>
          </rPr>
          <t xml:space="preserve">Complete RESERVE ANALYSIS first.
</t>
        </r>
      </text>
    </comment>
  </commentList>
</comments>
</file>

<file path=xl/comments2.xml><?xml version="1.0" encoding="utf-8"?>
<comments xmlns="http://schemas.openxmlformats.org/spreadsheetml/2006/main">
  <authors>
    <author>Roger Helmer</author>
  </authors>
  <commentList>
    <comment ref="B2" authorId="0" shapeId="0">
      <text>
        <r>
          <rPr>
            <b/>
            <sz val="9"/>
            <color indexed="81"/>
            <rFont val="Tahoma"/>
            <family val="2"/>
          </rPr>
          <t>Enter year date only.</t>
        </r>
        <r>
          <rPr>
            <sz val="9"/>
            <color indexed="81"/>
            <rFont val="Tahoma"/>
            <family val="2"/>
          </rPr>
          <t xml:space="preserve">
</t>
        </r>
      </text>
    </comment>
    <comment ref="G2" authorId="0" shapeId="0">
      <text>
        <r>
          <rPr>
            <b/>
            <sz val="9"/>
            <color indexed="81"/>
            <rFont val="Tahoma"/>
            <family val="2"/>
          </rPr>
          <t>Per unit monthly amount will be entered automatically.</t>
        </r>
        <r>
          <rPr>
            <sz val="9"/>
            <color indexed="81"/>
            <rFont val="Tahoma"/>
            <family val="2"/>
          </rPr>
          <t xml:space="preserve">
</t>
        </r>
      </text>
    </comment>
    <comment ref="B3" authorId="0" shapeId="0">
      <text>
        <r>
          <rPr>
            <b/>
            <sz val="9"/>
            <color indexed="81"/>
            <rFont val="Tahoma"/>
            <family val="2"/>
          </rPr>
          <t>Enter year date only.</t>
        </r>
        <r>
          <rPr>
            <sz val="9"/>
            <color indexed="81"/>
            <rFont val="Tahoma"/>
            <family val="2"/>
          </rPr>
          <t xml:space="preserve">
</t>
        </r>
      </text>
    </comment>
    <comment ref="E3" authorId="0" shapeId="0">
      <text>
        <r>
          <rPr>
            <b/>
            <sz val="9"/>
            <color indexed="81"/>
            <rFont val="Tahoma"/>
            <family val="2"/>
          </rPr>
          <t xml:space="preserve">Examples:
</t>
        </r>
        <r>
          <rPr>
            <sz val="9"/>
            <color indexed="81"/>
            <rFont val="Tahoma"/>
            <family val="2"/>
          </rPr>
          <t xml:space="preserve">
Jan. thru Dec.  
Or
Jul. thru Jun.
Or
Oct. thru Sept.</t>
        </r>
      </text>
    </comment>
    <comment ref="G3" authorId="0" shapeId="0">
      <text>
        <r>
          <rPr>
            <b/>
            <sz val="9"/>
            <color indexed="81"/>
            <rFont val="Tahoma"/>
            <family val="2"/>
          </rPr>
          <t>Per unit monthly amount will be entered automatically.</t>
        </r>
        <r>
          <rPr>
            <sz val="9"/>
            <color indexed="81"/>
            <rFont val="Tahoma"/>
            <family val="2"/>
          </rPr>
          <t xml:space="preserve">
</t>
        </r>
      </text>
    </comment>
    <comment ref="A41" authorId="0" shapeId="0">
      <text>
        <r>
          <rPr>
            <sz val="9"/>
            <color indexed="81"/>
            <rFont val="Tahoma"/>
            <family val="2"/>
          </rPr>
          <t xml:space="preserve">Complete RESERVE ANALYSIS first.
</t>
        </r>
      </text>
    </comment>
  </commentList>
</comments>
</file>

<file path=xl/comments3.xml><?xml version="1.0" encoding="utf-8"?>
<comments xmlns="http://schemas.openxmlformats.org/spreadsheetml/2006/main">
  <authors>
    <author>Note</author>
    <author>Roger</author>
    <author>Roger Helmer</author>
  </authors>
  <commentList>
    <comment ref="G1" authorId="0" shapeId="0">
      <text>
        <r>
          <rPr>
            <b/>
            <sz val="10"/>
            <color indexed="81"/>
            <rFont val="Tahoma"/>
            <family val="2"/>
          </rPr>
          <t xml:space="preserve">Examples:
</t>
        </r>
        <r>
          <rPr>
            <sz val="10"/>
            <color indexed="81"/>
            <rFont val="Tahoma"/>
            <family val="2"/>
          </rPr>
          <t xml:space="preserve">
Jan. thru Dec.  
Or
Jul. thru Jun.
Or
Oct. thru Sept.</t>
        </r>
      </text>
    </comment>
    <comment ref="D3" authorId="0" shapeId="0">
      <text>
        <r>
          <rPr>
            <b/>
            <sz val="10"/>
            <color indexed="81"/>
            <rFont val="Tahoma"/>
            <family val="2"/>
          </rPr>
          <t>Note:</t>
        </r>
        <r>
          <rPr>
            <sz val="10"/>
            <color indexed="81"/>
            <rFont val="Tahoma"/>
            <family val="2"/>
          </rPr>
          <t xml:space="preserve">
This amount represents the initial monthly dues required to fund replacement of the Reserve Items 100% at the end of their useful life as established by the original Reserve Analysis.</t>
        </r>
      </text>
    </comment>
    <comment ref="J3" authorId="0" shapeId="0">
      <text>
        <r>
          <rPr>
            <b/>
            <sz val="10"/>
            <color indexed="81"/>
            <rFont val="Tahoma"/>
            <family val="2"/>
          </rPr>
          <t>Note:</t>
        </r>
        <r>
          <rPr>
            <sz val="10"/>
            <color indexed="81"/>
            <rFont val="Tahoma"/>
            <family val="2"/>
          </rPr>
          <t xml:space="preserve">
This amount represents the monthly dues required to fund replacement of the Reserve Items 100% at the end of their useful life as established by this Reserve Analysis.
If higher than the Initial Monthly Reserve Dues amount, the Association has been paying lower Reserve Dues than needed to 100% fund the replacement cost of the Reserve Items.
A plan will need to be developed to address this issue and submitted to AHFC.
The plan may spread the increase in Reserve Dues  over five (5) years.</t>
        </r>
      </text>
    </comment>
    <comment ref="B5" authorId="1" shapeId="0">
      <text>
        <r>
          <rPr>
            <b/>
            <sz val="10"/>
            <color indexed="81"/>
            <rFont val="Tahoma"/>
            <family val="2"/>
          </rPr>
          <t xml:space="preserve">Note:
</t>
        </r>
        <r>
          <rPr>
            <sz val="10"/>
            <color indexed="81"/>
            <rFont val="Tahoma"/>
            <family val="2"/>
          </rPr>
          <t>Years item will be in use before it may need replacement.</t>
        </r>
        <r>
          <rPr>
            <sz val="9"/>
            <color indexed="81"/>
            <rFont val="Tahoma"/>
            <family val="2"/>
          </rPr>
          <t xml:space="preserve">
</t>
        </r>
      </text>
    </comment>
    <comment ref="C5" authorId="2" shapeId="0">
      <text>
        <r>
          <rPr>
            <b/>
            <sz val="10"/>
            <color indexed="81"/>
            <rFont val="Tahoma"/>
            <family val="2"/>
          </rPr>
          <t>Note:</t>
        </r>
        <r>
          <rPr>
            <b/>
            <sz val="9"/>
            <color indexed="81"/>
            <rFont val="Tahoma"/>
            <family val="2"/>
          </rPr>
          <t xml:space="preserve">
</t>
        </r>
        <r>
          <rPr>
            <sz val="9"/>
            <color indexed="81"/>
            <rFont val="Tahoma"/>
            <family val="2"/>
          </rPr>
          <t>If Yrs. In Use</t>
        </r>
        <r>
          <rPr>
            <sz val="10"/>
            <color indexed="81"/>
            <rFont val="Tahoma"/>
            <family val="2"/>
          </rPr>
          <t xml:space="preserve"> exceeds Useful Life, then enter Useful Life.</t>
        </r>
        <r>
          <rPr>
            <sz val="9"/>
            <color indexed="81"/>
            <rFont val="Tahoma"/>
            <family val="2"/>
          </rPr>
          <t xml:space="preserve">
</t>
        </r>
      </text>
    </comment>
    <comment ref="D5" authorId="1" shapeId="0">
      <text>
        <r>
          <rPr>
            <b/>
            <sz val="10"/>
            <color indexed="81"/>
            <rFont val="Tahoma"/>
            <family val="2"/>
          </rPr>
          <t xml:space="preserve">Note: 
</t>
        </r>
        <r>
          <rPr>
            <sz val="10"/>
            <color indexed="81"/>
            <rFont val="Tahoma"/>
            <family val="2"/>
          </rPr>
          <t>Remaining life: years remaining before item scheduled to be replaced.</t>
        </r>
        <r>
          <rPr>
            <sz val="9"/>
            <color indexed="81"/>
            <rFont val="Tahoma"/>
            <family val="2"/>
          </rPr>
          <t xml:space="preserve">
</t>
        </r>
      </text>
    </comment>
    <comment ref="E5" authorId="0" shapeId="0">
      <text>
        <r>
          <rPr>
            <b/>
            <sz val="10"/>
            <color indexed="81"/>
            <rFont val="Tahoma"/>
            <family val="2"/>
          </rPr>
          <t>Note:</t>
        </r>
        <r>
          <rPr>
            <sz val="10"/>
            <color indexed="81"/>
            <rFont val="Tahoma"/>
            <family val="2"/>
          </rPr>
          <t xml:space="preserve">
Replacement Cost: cost to replace or update item at end of useful life.</t>
        </r>
      </text>
    </comment>
    <comment ref="F5" authorId="0" shapeId="0">
      <text>
        <r>
          <rPr>
            <b/>
            <sz val="10"/>
            <color indexed="81"/>
            <rFont val="Tahoma"/>
            <family val="2"/>
          </rPr>
          <t>Note:</t>
        </r>
        <r>
          <rPr>
            <sz val="10"/>
            <color indexed="81"/>
            <rFont val="Tahoma"/>
            <family val="2"/>
          </rPr>
          <t xml:space="preserve">
Amount established by initial reserve analysis to cover cost of item replacement at the end of its useful life.</t>
        </r>
      </text>
    </comment>
    <comment ref="G5" authorId="0" shapeId="0">
      <text>
        <r>
          <rPr>
            <b/>
            <sz val="10"/>
            <color indexed="81"/>
            <rFont val="Tahoma"/>
            <family val="2"/>
          </rPr>
          <t>Note:</t>
        </r>
        <r>
          <rPr>
            <sz val="10"/>
            <color indexed="81"/>
            <rFont val="Tahoma"/>
            <family val="2"/>
          </rPr>
          <t xml:space="preserve">
Amount to have been collected to cover cost of replacing items at end of their useful life.</t>
        </r>
      </text>
    </comment>
    <comment ref="H5" authorId="0" shapeId="0">
      <text>
        <r>
          <rPr>
            <b/>
            <sz val="10"/>
            <color indexed="81"/>
            <rFont val="Tahoma"/>
            <family val="2"/>
          </rPr>
          <t>Note:</t>
        </r>
        <r>
          <rPr>
            <sz val="10"/>
            <color indexed="81"/>
            <rFont val="Tahoma"/>
            <family val="2"/>
          </rPr>
          <t xml:space="preserve">
Amount of Reserve Funds in bank account as of Date of Analysis.
Usually in a savings account. 
These funds must be separated from operating funds, and not used for general expenses.</t>
        </r>
      </text>
    </comment>
    <comment ref="I5" authorId="0" shapeId="0">
      <text>
        <r>
          <rPr>
            <b/>
            <sz val="10"/>
            <color indexed="81"/>
            <rFont val="Tahoma"/>
            <family val="2"/>
          </rPr>
          <t xml:space="preserve">Note:
</t>
        </r>
        <r>
          <rPr>
            <sz val="10"/>
            <color indexed="81"/>
            <rFont val="Tahoma"/>
            <family val="2"/>
          </rPr>
          <t xml:space="preserve">As of Date of Analysis -
If a number is </t>
        </r>
        <r>
          <rPr>
            <b/>
            <sz val="10"/>
            <color indexed="10"/>
            <rFont val="Tahoma"/>
            <family val="2"/>
          </rPr>
          <t>RED</t>
        </r>
        <r>
          <rPr>
            <sz val="10"/>
            <color indexed="81"/>
            <rFont val="Tahoma"/>
            <family val="2"/>
          </rPr>
          <t xml:space="preserve">, the Monthly Reserve Dues for this Item has been less then it should have been to 100% fund its replacement at the end of its useful life. It has been under budgeted. </t>
        </r>
      </text>
    </comment>
    <comment ref="J5" authorId="0" shapeId="0">
      <text>
        <r>
          <rPr>
            <b/>
            <sz val="10"/>
            <color indexed="81"/>
            <rFont val="Tahoma"/>
            <family val="2"/>
          </rPr>
          <t>Note:</t>
        </r>
        <r>
          <rPr>
            <sz val="10"/>
            <color indexed="81"/>
            <rFont val="Tahoma"/>
            <family val="2"/>
          </rPr>
          <t xml:space="preserve">
Percent Actual Reserve Funds is of Required Reserves Amount. 
Percent Funded should be at 100%. This will usually eliminate the need for special assesments and increase the value of the units. 
The closer to 100% funded, the more secure the Association is financially, which makes for a positive sales position.</t>
        </r>
      </text>
    </comment>
    <comment ref="K5" authorId="0" shapeId="0">
      <text>
        <r>
          <rPr>
            <b/>
            <sz val="10"/>
            <color indexed="81"/>
            <rFont val="Tahoma"/>
            <family val="2"/>
          </rPr>
          <t>Note:</t>
        </r>
        <r>
          <rPr>
            <sz val="10"/>
            <color indexed="81"/>
            <rFont val="Tahoma"/>
            <family val="2"/>
          </rPr>
          <t xml:space="preserve">
Remaining amount needed to cover cost of item replacement at end of its useful life.</t>
        </r>
      </text>
    </comment>
    <comment ref="A6" authorId="0" shapeId="0">
      <text>
        <r>
          <rPr>
            <b/>
            <sz val="10"/>
            <color indexed="81"/>
            <rFont val="Tahoma"/>
            <family val="2"/>
          </rPr>
          <t>Note:</t>
        </r>
        <r>
          <rPr>
            <sz val="10"/>
            <color indexed="81"/>
            <rFont val="Tahoma"/>
            <family val="2"/>
          </rPr>
          <t xml:space="preserve">
Insurance Deductible Amount should be covered within 5 years.</t>
        </r>
      </text>
    </comment>
  </commentList>
</comments>
</file>

<file path=xl/comments4.xml><?xml version="1.0" encoding="utf-8"?>
<comments xmlns="http://schemas.openxmlformats.org/spreadsheetml/2006/main">
  <authors>
    <author>Note</author>
    <author>Roger</author>
    <author>Roger Helmer</author>
  </authors>
  <commentList>
    <comment ref="G1" authorId="0" shapeId="0">
      <text>
        <r>
          <rPr>
            <b/>
            <sz val="10"/>
            <color indexed="81"/>
            <rFont val="Tahoma"/>
            <family val="2"/>
          </rPr>
          <t xml:space="preserve">Note:  </t>
        </r>
        <r>
          <rPr>
            <sz val="10"/>
            <color indexed="81"/>
            <rFont val="Tahoma"/>
            <family val="2"/>
          </rPr>
          <t>Example:
Jan. thru Dec.  
Or
Jul. thru Jun.
Or
Oct. thru Sept.</t>
        </r>
      </text>
    </comment>
    <comment ref="D3" authorId="0" shapeId="0">
      <text>
        <r>
          <rPr>
            <b/>
            <sz val="10"/>
            <color indexed="81"/>
            <rFont val="Tahoma"/>
            <family val="2"/>
          </rPr>
          <t>Note:</t>
        </r>
        <r>
          <rPr>
            <sz val="10"/>
            <color indexed="81"/>
            <rFont val="Tahoma"/>
            <family val="2"/>
          </rPr>
          <t xml:space="preserve">
This amount represents the initial monthly dues required to fund replacement of the Reserve Items 100% at the end of their useful life as established by the original Reserve Analysis.</t>
        </r>
      </text>
    </comment>
    <comment ref="J3" authorId="0" shapeId="0">
      <text>
        <r>
          <rPr>
            <b/>
            <sz val="10"/>
            <color indexed="81"/>
            <rFont val="Tahoma"/>
            <family val="2"/>
          </rPr>
          <t>Note:</t>
        </r>
        <r>
          <rPr>
            <sz val="10"/>
            <color indexed="81"/>
            <rFont val="Tahoma"/>
            <family val="2"/>
          </rPr>
          <t xml:space="preserve">
This amount represents the monthly dues required to fund replacement of the Reserve Items 100% at the end of their useful life as established by this Reserve Analysis.
If higher than the Initial Monthly Reserve Dues amount, the Association has been paying lower Reserve Dues than needed to 100% fund the replacement cost of the Reserve Items.
A plan will need to be developed to address this issue and submitted to AHFC.
The plan may spread the increase in Reserve Dues  over five (5) years.</t>
        </r>
      </text>
    </comment>
    <comment ref="B5" authorId="1" shapeId="0">
      <text>
        <r>
          <rPr>
            <b/>
            <sz val="10"/>
            <color indexed="81"/>
            <rFont val="Tahoma"/>
            <family val="2"/>
          </rPr>
          <t xml:space="preserve">Note:
</t>
        </r>
        <r>
          <rPr>
            <sz val="10"/>
            <color indexed="81"/>
            <rFont val="Tahoma"/>
            <family val="2"/>
          </rPr>
          <t>Years item will be in use before it may need replacement.</t>
        </r>
        <r>
          <rPr>
            <sz val="9"/>
            <color indexed="81"/>
            <rFont val="Tahoma"/>
            <family val="2"/>
          </rPr>
          <t xml:space="preserve">
</t>
        </r>
      </text>
    </comment>
    <comment ref="C5" authorId="2" shapeId="0">
      <text>
        <r>
          <rPr>
            <b/>
            <sz val="10"/>
            <color indexed="81"/>
            <rFont val="Tahoma"/>
            <family val="2"/>
          </rPr>
          <t>Note:</t>
        </r>
        <r>
          <rPr>
            <b/>
            <sz val="9"/>
            <color indexed="81"/>
            <rFont val="Tahoma"/>
            <family val="2"/>
          </rPr>
          <t xml:space="preserve">
</t>
        </r>
        <r>
          <rPr>
            <sz val="9"/>
            <color indexed="81"/>
            <rFont val="Tahoma"/>
            <family val="2"/>
          </rPr>
          <t>If Yrs. In Use</t>
        </r>
        <r>
          <rPr>
            <sz val="10"/>
            <color indexed="81"/>
            <rFont val="Tahoma"/>
            <family val="2"/>
          </rPr>
          <t xml:space="preserve"> exceeds Useful Life, then enter Useful Life. .</t>
        </r>
        <r>
          <rPr>
            <sz val="9"/>
            <color indexed="81"/>
            <rFont val="Tahoma"/>
            <family val="2"/>
          </rPr>
          <t xml:space="preserve">
</t>
        </r>
      </text>
    </comment>
    <comment ref="D5" authorId="1" shapeId="0">
      <text>
        <r>
          <rPr>
            <b/>
            <sz val="10"/>
            <color indexed="81"/>
            <rFont val="Tahoma"/>
            <family val="2"/>
          </rPr>
          <t xml:space="preserve">Note: 
</t>
        </r>
        <r>
          <rPr>
            <sz val="10"/>
            <color indexed="81"/>
            <rFont val="Tahoma"/>
            <family val="2"/>
          </rPr>
          <t>Remaining life: years remaining before item scheduled to be replaced.</t>
        </r>
        <r>
          <rPr>
            <sz val="9"/>
            <color indexed="81"/>
            <rFont val="Tahoma"/>
            <family val="2"/>
          </rPr>
          <t xml:space="preserve">
</t>
        </r>
      </text>
    </comment>
    <comment ref="E5" authorId="0" shapeId="0">
      <text>
        <r>
          <rPr>
            <b/>
            <sz val="10"/>
            <color indexed="81"/>
            <rFont val="Tahoma"/>
            <family val="2"/>
          </rPr>
          <t>Note:</t>
        </r>
        <r>
          <rPr>
            <sz val="10"/>
            <color indexed="81"/>
            <rFont val="Tahoma"/>
            <family val="2"/>
          </rPr>
          <t xml:space="preserve">
Replacement Cost: cost to replace or update item at end of useful life.</t>
        </r>
      </text>
    </comment>
    <comment ref="F5" authorId="0" shapeId="0">
      <text>
        <r>
          <rPr>
            <b/>
            <sz val="10"/>
            <color indexed="81"/>
            <rFont val="Tahoma"/>
            <family val="2"/>
          </rPr>
          <t>Note:</t>
        </r>
        <r>
          <rPr>
            <sz val="10"/>
            <color indexed="81"/>
            <rFont val="Tahoma"/>
            <family val="2"/>
          </rPr>
          <t xml:space="preserve">
Amount established by initial reserve analysis to cover cost of item replacement at the end of its useful life.</t>
        </r>
      </text>
    </comment>
    <comment ref="G5" authorId="0" shapeId="0">
      <text>
        <r>
          <rPr>
            <b/>
            <sz val="10"/>
            <color indexed="81"/>
            <rFont val="Tahoma"/>
            <family val="2"/>
          </rPr>
          <t>Note:</t>
        </r>
        <r>
          <rPr>
            <sz val="10"/>
            <color indexed="81"/>
            <rFont val="Tahoma"/>
            <family val="2"/>
          </rPr>
          <t xml:space="preserve">
Amount to have been collected to cover cost of replacing items at end of their useful life.</t>
        </r>
      </text>
    </comment>
    <comment ref="H5" authorId="0" shapeId="0">
      <text>
        <r>
          <rPr>
            <b/>
            <sz val="10"/>
            <color indexed="81"/>
            <rFont val="Tahoma"/>
            <family val="2"/>
          </rPr>
          <t>Note:</t>
        </r>
        <r>
          <rPr>
            <sz val="10"/>
            <color indexed="81"/>
            <rFont val="Tahoma"/>
            <family val="2"/>
          </rPr>
          <t xml:space="preserve">
Amount of Reserve Funds in bank account as of Date of Analysis.
Usually in a savings account. 
These funds must be separated from operating funds, and not used for general expenses.</t>
        </r>
      </text>
    </comment>
    <comment ref="I5" authorId="0" shapeId="0">
      <text>
        <r>
          <rPr>
            <b/>
            <sz val="10"/>
            <color indexed="81"/>
            <rFont val="Tahoma"/>
            <family val="2"/>
          </rPr>
          <t xml:space="preserve">Note:
</t>
        </r>
        <r>
          <rPr>
            <sz val="10"/>
            <color indexed="81"/>
            <rFont val="Tahoma"/>
            <family val="2"/>
          </rPr>
          <t xml:space="preserve">As of Date of Analysis -
If a number is </t>
        </r>
        <r>
          <rPr>
            <b/>
            <sz val="10"/>
            <color indexed="10"/>
            <rFont val="Tahoma"/>
            <family val="2"/>
          </rPr>
          <t>RED</t>
        </r>
        <r>
          <rPr>
            <sz val="10"/>
            <color indexed="81"/>
            <rFont val="Tahoma"/>
            <family val="2"/>
          </rPr>
          <t xml:space="preserve">, the Monthly Reserve Dues for this Item has been less then it should have been to 100% fund its replacement at the end of its useful life. It has been under budgeted. </t>
        </r>
      </text>
    </comment>
    <comment ref="J5" authorId="0" shapeId="0">
      <text>
        <r>
          <rPr>
            <b/>
            <sz val="10"/>
            <color indexed="81"/>
            <rFont val="Tahoma"/>
            <family val="2"/>
          </rPr>
          <t>Note:</t>
        </r>
        <r>
          <rPr>
            <sz val="10"/>
            <color indexed="81"/>
            <rFont val="Tahoma"/>
            <family val="2"/>
          </rPr>
          <t xml:space="preserve">
Percent Actual Reserve Funds is of Required Reserves Amount. 
Percent Funded should be at 100%. This will usually eliminate the need for special assesments and increase the value of the units. 
The closer to 100% funded, the more secure the Association is financially, which makes for a positive sales position.</t>
        </r>
      </text>
    </comment>
    <comment ref="K5" authorId="0" shapeId="0">
      <text>
        <r>
          <rPr>
            <b/>
            <sz val="10"/>
            <color indexed="81"/>
            <rFont val="Tahoma"/>
            <family val="2"/>
          </rPr>
          <t>Note:</t>
        </r>
        <r>
          <rPr>
            <sz val="10"/>
            <color indexed="81"/>
            <rFont val="Tahoma"/>
            <family val="2"/>
          </rPr>
          <t xml:space="preserve">
Remaining amount needed to cover cost of item replacement at end of its useful life.</t>
        </r>
      </text>
    </comment>
  </commentList>
</comments>
</file>

<file path=xl/sharedStrings.xml><?xml version="1.0" encoding="utf-8"?>
<sst xmlns="http://schemas.openxmlformats.org/spreadsheetml/2006/main" count="197" uniqueCount="81">
  <si>
    <t xml:space="preserve"> </t>
  </si>
  <si>
    <t>Association Dues</t>
  </si>
  <si>
    <t>Total Expenses:</t>
  </si>
  <si>
    <t>Net Income:</t>
  </si>
  <si>
    <t>Date of Analysis:</t>
  </si>
  <si>
    <t>Subtotal Reserve Expenses:</t>
  </si>
  <si>
    <t>PRIOR BUDGET YEAR:</t>
  </si>
  <si>
    <t>CURRENT BUDGET YEAR:</t>
  </si>
  <si>
    <t>Name of Association:</t>
  </si>
  <si>
    <t>Fiscal Year:</t>
  </si>
  <si>
    <t>Number of Units:</t>
  </si>
  <si>
    <t>Date Approval Expires:</t>
  </si>
  <si>
    <t>Useful Life</t>
  </si>
  <si>
    <t>Replac. Cost</t>
  </si>
  <si>
    <t>Percent Funded</t>
  </si>
  <si>
    <t>Total:</t>
  </si>
  <si>
    <t># of Units:</t>
  </si>
  <si>
    <t>Date:</t>
  </si>
  <si>
    <t>Prior Monthly</t>
  </si>
  <si>
    <t>Prior Annual</t>
  </si>
  <si>
    <t>Prior Actual</t>
  </si>
  <si>
    <t>Current Monthly</t>
  </si>
  <si>
    <t>Current Annual</t>
  </si>
  <si>
    <t>Monthly  Change</t>
  </si>
  <si>
    <t>REVENUE:</t>
  </si>
  <si>
    <t>CONDO ASSOCIATION NAME:</t>
  </si>
  <si>
    <t>RESERVE EXPENSES:</t>
  </si>
  <si>
    <t>Monthly Change</t>
  </si>
  <si>
    <t>Management Fees</t>
  </si>
  <si>
    <t>OPERATING EXPENSES:</t>
  </si>
  <si>
    <t>Subtotal Operating Expenses:</t>
  </si>
  <si>
    <t>Initial Monthly Reserve Dues:</t>
  </si>
  <si>
    <r>
      <rPr>
        <b/>
        <sz val="10"/>
        <color rgb="FFFF0000"/>
        <rFont val="Franklin Gothic Book"/>
        <family val="2"/>
      </rPr>
      <t>**</t>
    </r>
    <r>
      <rPr>
        <b/>
        <sz val="10"/>
        <color theme="1"/>
        <rFont val="Franklin Gothic Book"/>
        <family val="2"/>
      </rPr>
      <t>Monthly Reserve Dues as of this Analysis:</t>
    </r>
  </si>
  <si>
    <t>Reserve Items</t>
  </si>
  <si>
    <t>Yrs. in Use</t>
  </si>
  <si>
    <t>Remain. Life</t>
  </si>
  <si>
    <t>Annual  Payment Amount</t>
  </si>
  <si>
    <t>Required Reserves</t>
  </si>
  <si>
    <t xml:space="preserve">Actual Reserves </t>
  </si>
  <si>
    <r>
      <t xml:space="preserve">Adequate / </t>
    </r>
    <r>
      <rPr>
        <b/>
        <sz val="10"/>
        <color rgb="FFFF0000"/>
        <rFont val="Franklin Gothic Book"/>
        <family val="2"/>
      </rPr>
      <t>(Shortage)</t>
    </r>
  </si>
  <si>
    <t xml:space="preserve">Amount to Fund Replac. </t>
  </si>
  <si>
    <t>Annual Replac. Cost</t>
  </si>
  <si>
    <t>INSURANCE DEDUCTIBLE</t>
  </si>
  <si>
    <r>
      <rPr>
        <b/>
        <sz val="12"/>
        <color rgb="FFFF0000"/>
        <rFont val="Franklin Gothic Book"/>
        <family val="2"/>
      </rPr>
      <t>**</t>
    </r>
    <r>
      <rPr>
        <b/>
        <sz val="12"/>
        <color theme="1"/>
        <rFont val="Franklin Gothic Book"/>
        <family val="2"/>
      </rPr>
      <t>Note: Monthly Reserve Dues Amount as of this Analysis --</t>
    </r>
    <r>
      <rPr>
        <sz val="12"/>
        <color theme="1"/>
        <rFont val="Franklin Gothic Book"/>
        <family val="2"/>
      </rPr>
      <t xml:space="preserve"> If this amount is greater than the </t>
    </r>
    <r>
      <rPr>
        <b/>
        <sz val="12"/>
        <color theme="1"/>
        <rFont val="Franklin Gothic Book"/>
        <family val="2"/>
      </rPr>
      <t>Initial Monthly Reserve Dues Amount</t>
    </r>
    <r>
      <rPr>
        <sz val="12"/>
        <color theme="1"/>
        <rFont val="Franklin Gothic Book"/>
        <family val="2"/>
      </rPr>
      <t xml:space="preserve">, the Association may not have been collecting sufficient Monthly Reserve Dues to fund the Reserve replacement Items 100%. This amount will need to be budgeted to bring the Reserves in line with the actual amount that should have been collected in order to fund the Reserve Items 100%. A plan to correct this situation must be developed and submitted to AHFC. </t>
    </r>
    <r>
      <rPr>
        <b/>
        <u/>
        <sz val="12"/>
        <color theme="1"/>
        <rFont val="Franklin Gothic Book"/>
        <family val="2"/>
      </rPr>
      <t>These increased costs can be spread over up to five (5) years</t>
    </r>
    <r>
      <rPr>
        <sz val="12"/>
        <color theme="1"/>
        <rFont val="Franklin Gothic Book"/>
        <family val="2"/>
      </rPr>
      <t xml:space="preserve">. </t>
    </r>
  </si>
  <si>
    <t>ASPHALT</t>
  </si>
  <si>
    <t>ROOFING</t>
  </si>
  <si>
    <t>Jan. thru Dec.</t>
  </si>
  <si>
    <t>Calculated</t>
  </si>
  <si>
    <t>Enter Data</t>
  </si>
  <si>
    <t>Date Acceptance Expires:</t>
  </si>
  <si>
    <r>
      <rPr>
        <b/>
        <sz val="12"/>
        <color rgb="FFFF0000"/>
        <rFont val="Franklin Gothic Book"/>
        <family val="2"/>
      </rPr>
      <t>*</t>
    </r>
    <r>
      <rPr>
        <b/>
        <sz val="12"/>
        <color theme="1"/>
        <rFont val="Franklin Gothic Book"/>
        <family val="2"/>
      </rPr>
      <t>Note:</t>
    </r>
    <r>
      <rPr>
        <sz val="12"/>
        <color theme="1"/>
        <rFont val="Franklin Gothic Book"/>
        <family val="2"/>
      </rPr>
      <t xml:space="preserve"> </t>
    </r>
    <r>
      <rPr>
        <b/>
        <sz val="12"/>
        <color theme="1"/>
        <rFont val="Franklin Gothic Book"/>
        <family val="2"/>
      </rPr>
      <t xml:space="preserve">First, </t>
    </r>
    <r>
      <rPr>
        <b/>
        <sz val="12"/>
        <color rgb="FFFF0000"/>
        <rFont val="Franklin Gothic Book"/>
        <family val="2"/>
      </rPr>
      <t>save this spreadsheet with the original name before doing anything</t>
    </r>
    <r>
      <rPr>
        <sz val="12"/>
        <color theme="1"/>
        <rFont val="Franklin Gothic Book"/>
        <family val="2"/>
      </rPr>
      <t xml:space="preserve">. </t>
    </r>
    <r>
      <rPr>
        <b/>
        <sz val="12"/>
        <color theme="1"/>
        <rFont val="Franklin Gothic Book"/>
        <family val="2"/>
      </rPr>
      <t>Second</t>
    </r>
    <r>
      <rPr>
        <sz val="12"/>
        <color theme="1"/>
        <rFont val="Franklin Gothic Book"/>
        <family val="2"/>
      </rPr>
      <t xml:space="preserve">, this spreadsheet is protected. </t>
    </r>
    <r>
      <rPr>
        <b/>
        <sz val="12"/>
        <color theme="1"/>
        <rFont val="Franklin Gothic Book"/>
        <family val="2"/>
      </rPr>
      <t>Third</t>
    </r>
    <r>
      <rPr>
        <sz val="12"/>
        <color theme="1"/>
        <rFont val="Franklin Gothic Book"/>
        <family val="2"/>
      </rPr>
      <t xml:space="preserve">, count the number of your association's reserve items. If you have more then 25, contact Roger Helmer. </t>
    </r>
    <r>
      <rPr>
        <b/>
        <sz val="12"/>
        <color theme="1"/>
        <rFont val="Franklin Gothic Book"/>
        <family val="2"/>
      </rPr>
      <t>Fourth</t>
    </r>
    <r>
      <rPr>
        <sz val="12"/>
        <color theme="1"/>
        <rFont val="Franklin Gothic Book"/>
        <family val="2"/>
      </rPr>
      <t xml:space="preserve">, </t>
    </r>
    <r>
      <rPr>
        <b/>
        <u/>
        <sz val="12"/>
        <color theme="1"/>
        <rFont val="Franklin Gothic Book"/>
        <family val="2"/>
      </rPr>
      <t>SAVE</t>
    </r>
    <r>
      <rPr>
        <sz val="12"/>
        <color theme="1"/>
        <rFont val="Franklin Gothic Book"/>
        <family val="2"/>
      </rPr>
      <t xml:space="preserve"> the spreadsheet with your association's name in the title before doing anything else!</t>
    </r>
    <r>
      <rPr>
        <b/>
        <sz val="12"/>
        <color theme="1"/>
        <rFont val="Franklin Gothic Book"/>
        <family val="2"/>
      </rPr>
      <t xml:space="preserve"> If you need help contact Roger Helmer at: rhelmer@ahfc.us or call: (907) 330-8429.</t>
    </r>
  </si>
  <si>
    <r>
      <rPr>
        <b/>
        <sz val="12"/>
        <color rgb="FFFF0000"/>
        <rFont val="Franklin Gothic Book"/>
        <family val="2"/>
      </rPr>
      <t>**</t>
    </r>
    <r>
      <rPr>
        <b/>
        <sz val="12"/>
        <color theme="1"/>
        <rFont val="Franklin Gothic Book"/>
        <family val="2"/>
      </rPr>
      <t>Note: Monthly Reserve Dues Amount as of this Analysis --</t>
    </r>
    <r>
      <rPr>
        <sz val="12"/>
        <color theme="1"/>
        <rFont val="Franklin Gothic Book"/>
        <family val="2"/>
      </rPr>
      <t xml:space="preserve"> If this amount is greater than the </t>
    </r>
    <r>
      <rPr>
        <b/>
        <sz val="12"/>
        <color theme="1"/>
        <rFont val="Franklin Gothic Book"/>
        <family val="2"/>
      </rPr>
      <t>Initial Monthly Reserve Dues Amount</t>
    </r>
    <r>
      <rPr>
        <sz val="12"/>
        <color theme="1"/>
        <rFont val="Franklin Gothic Book"/>
        <family val="2"/>
      </rPr>
      <t xml:space="preserve">, the Association may not have been collecting sufficient Monthly Reserve Dues to fund the Reserve replacement Items 100%. This amount will need to be budgeted to bring the Reserves in line with the actual amount that should have been collected in order to fund the Reserve Items 100%. A plan to correct this situation must be developed and submitted to AHFC. </t>
    </r>
    <r>
      <rPr>
        <b/>
        <u/>
        <sz val="12"/>
        <color theme="1"/>
        <rFont val="Franklin Gothic Book"/>
        <family val="2"/>
      </rPr>
      <t>These increased costs can be spread out up to five (5) years</t>
    </r>
    <r>
      <rPr>
        <sz val="12"/>
        <color theme="1"/>
        <rFont val="Franklin Gothic Book"/>
        <family val="2"/>
      </rPr>
      <t xml:space="preserve">. </t>
    </r>
  </si>
  <si>
    <t>Example - Reserve Items Analysis</t>
  </si>
  <si>
    <t>PAINTING - EXTERIOR</t>
  </si>
  <si>
    <t>DECKING</t>
  </si>
  <si>
    <t>BOILERS</t>
  </si>
  <si>
    <t>FENCE</t>
  </si>
  <si>
    <t>Mthly Oper Dues:</t>
  </si>
  <si>
    <t>Mthly Total Dues:</t>
  </si>
  <si>
    <t>Total Revenue :</t>
  </si>
  <si>
    <t>Mthly Res Dues:</t>
  </si>
  <si>
    <t>.</t>
  </si>
  <si>
    <t>Insurance Deductible</t>
  </si>
  <si>
    <t>Example - Budget Analysis</t>
  </si>
  <si>
    <t>Roofing</t>
  </si>
  <si>
    <t>Asphalt</t>
  </si>
  <si>
    <t>Painting - Exterior</t>
  </si>
  <si>
    <t>Decking</t>
  </si>
  <si>
    <t>Boilers</t>
  </si>
  <si>
    <t>Fence</t>
  </si>
  <si>
    <t>Snow Removal</t>
  </si>
  <si>
    <t xml:space="preserve">Insurance </t>
  </si>
  <si>
    <t>Heating</t>
  </si>
  <si>
    <t>Maintenance - Building</t>
  </si>
  <si>
    <t>Maintenance - Grounds</t>
  </si>
  <si>
    <t>Water &amp; Sewer</t>
  </si>
  <si>
    <t>Refuse</t>
  </si>
  <si>
    <t>Miscellaneous</t>
  </si>
  <si>
    <r>
      <rPr>
        <sz val="12"/>
        <color rgb="FFFF0000"/>
        <rFont val="Arial"/>
        <family val="2"/>
      </rPr>
      <t xml:space="preserve"> </t>
    </r>
    <r>
      <rPr>
        <b/>
        <sz val="12"/>
        <color rgb="FFFF0000"/>
        <rFont val="Arial"/>
        <family val="2"/>
      </rPr>
      <t>PLEASE:</t>
    </r>
    <r>
      <rPr>
        <sz val="12"/>
        <rFont val="Arial"/>
        <family val="2"/>
      </rPr>
      <t xml:space="preserve"> </t>
    </r>
    <r>
      <rPr>
        <b/>
        <sz val="12"/>
        <color rgb="FFFF0000"/>
        <rFont val="Arial"/>
        <family val="2"/>
      </rPr>
      <t>PRINT THIS PAGE AND READ INSTRUCTIONS BEFORE CONTINUING</t>
    </r>
    <r>
      <rPr>
        <sz val="12"/>
        <rFont val="Arial"/>
        <family val="2"/>
      </rPr>
      <t xml:space="preserve">
</t>
    </r>
    <r>
      <rPr>
        <b/>
        <sz val="12"/>
        <color rgb="FFFF0000"/>
        <rFont val="Arial"/>
        <family val="2"/>
      </rPr>
      <t>First</t>
    </r>
    <r>
      <rPr>
        <sz val="12"/>
        <rFont val="Arial"/>
        <family val="2"/>
      </rPr>
      <t xml:space="preserve"> -- save this workbook with your Association's name, the correct fiscal year, and current date in the title of the file name before doing anything. For example if the fiscal year is 2020, your Association's name Paris, and the date is 12-16-19, then the title of the file would be: </t>
    </r>
    <r>
      <rPr>
        <b/>
        <sz val="12"/>
        <rFont val="Arial"/>
        <family val="2"/>
      </rPr>
      <t>Paris_Association_FY2020_</t>
    </r>
    <r>
      <rPr>
        <b/>
        <sz val="12"/>
        <color theme="1"/>
        <rFont val="Arial"/>
        <family val="2"/>
      </rPr>
      <t>Budget_and_Reserves_12-16-19</t>
    </r>
    <r>
      <rPr>
        <sz val="12"/>
        <rFont val="Arial"/>
        <family val="2"/>
      </rPr>
      <t xml:space="preserve">. </t>
    </r>
    <r>
      <rPr>
        <b/>
        <sz val="12"/>
        <color rgb="FFFF0000"/>
        <rFont val="Arial"/>
        <family val="2"/>
      </rPr>
      <t>Second</t>
    </r>
    <r>
      <rPr>
        <sz val="12"/>
        <rFont val="Arial"/>
        <family val="2"/>
      </rPr>
      <t xml:space="preserve"> -- the worksheets are protected. </t>
    </r>
    <r>
      <rPr>
        <b/>
        <sz val="12"/>
        <color rgb="FFFF0000"/>
        <rFont val="Arial"/>
        <family val="2"/>
      </rPr>
      <t>Third</t>
    </r>
    <r>
      <rPr>
        <sz val="12"/>
        <rFont val="Arial"/>
        <family val="2"/>
      </rPr>
      <t xml:space="preserve"> -- set Excel to SAVE the workbook every 5 minutes or less by selecting File, Options, Save, Save AutoRecover information every _</t>
    </r>
    <r>
      <rPr>
        <u/>
        <sz val="12"/>
        <rFont val="Arial"/>
        <family val="2"/>
      </rPr>
      <t>5</t>
    </r>
    <r>
      <rPr>
        <sz val="12"/>
        <rFont val="Arial"/>
        <family val="2"/>
      </rPr>
      <t xml:space="preserve">__ minutes. </t>
    </r>
    <r>
      <rPr>
        <b/>
        <sz val="12"/>
        <color rgb="FFFF0000"/>
        <rFont val="Arial"/>
        <family val="2"/>
      </rPr>
      <t>Fourth</t>
    </r>
    <r>
      <rPr>
        <sz val="12"/>
        <rFont val="Arial"/>
        <family val="2"/>
      </rPr>
      <t xml:space="preserve"> -- </t>
    </r>
    <r>
      <rPr>
        <b/>
        <sz val="12"/>
        <rFont val="Arial"/>
        <family val="2"/>
      </rPr>
      <t xml:space="preserve">If you need help contact Roger Helmer at: rhelmer@ahfc.us, or call: (907) 330-8429.
</t>
    </r>
    <r>
      <rPr>
        <sz val="12"/>
        <rFont val="Arial"/>
        <family val="2"/>
      </rPr>
      <t xml:space="preserve">
</t>
    </r>
    <r>
      <rPr>
        <b/>
        <sz val="12"/>
        <rFont val="Arial"/>
        <family val="2"/>
      </rPr>
      <t>The Budget Worksheet</t>
    </r>
    <r>
      <rPr>
        <sz val="12"/>
        <rFont val="Arial"/>
        <family val="2"/>
      </rPr>
      <t xml:space="preserve">: This worksheet uses three Excel Tables: </t>
    </r>
    <r>
      <rPr>
        <b/>
        <sz val="12"/>
        <rFont val="Arial"/>
        <family val="2"/>
      </rPr>
      <t>REVENUE</t>
    </r>
    <r>
      <rPr>
        <sz val="12"/>
        <rFont val="Arial"/>
        <family val="2"/>
      </rPr>
      <t xml:space="preserve">, </t>
    </r>
    <r>
      <rPr>
        <b/>
        <sz val="12"/>
        <rFont val="Arial"/>
        <family val="2"/>
      </rPr>
      <t>OPERATING EXPENSES</t>
    </r>
    <r>
      <rPr>
        <sz val="12"/>
        <rFont val="Arial"/>
        <family val="2"/>
      </rPr>
      <t xml:space="preserve">, and </t>
    </r>
    <r>
      <rPr>
        <b/>
        <sz val="12"/>
        <rFont val="Arial"/>
        <family val="2"/>
      </rPr>
      <t>RESERVE EXPENSES</t>
    </r>
    <r>
      <rPr>
        <sz val="12"/>
        <rFont val="Arial"/>
        <family val="2"/>
      </rPr>
      <t xml:space="preserve">. These tables are constructed to allow sufficient rows of data in each table. If additional rows are required, please contact: </t>
    </r>
    <r>
      <rPr>
        <b/>
        <sz val="12"/>
        <rFont val="Arial"/>
        <family val="2"/>
      </rPr>
      <t>Roger Helmer at: rhelmer@ahfc.us, or call: (907) 330-8429</t>
    </r>
    <r>
      <rPr>
        <sz val="12"/>
        <rFont val="Arial"/>
        <family val="2"/>
      </rPr>
      <t xml:space="preserve">. 
Start with the </t>
    </r>
    <r>
      <rPr>
        <b/>
        <sz val="12"/>
        <rFont val="Arial"/>
        <family val="2"/>
      </rPr>
      <t>RESERVE ANALYSIS</t>
    </r>
    <r>
      <rPr>
        <sz val="12"/>
        <rFont val="Arial"/>
        <family val="2"/>
      </rPr>
      <t xml:space="preserve"> worksheet and complete that before completing the </t>
    </r>
    <r>
      <rPr>
        <b/>
        <sz val="12"/>
        <rFont val="Arial"/>
        <family val="2"/>
      </rPr>
      <t xml:space="preserve">BUDGET </t>
    </r>
    <r>
      <rPr>
        <sz val="12"/>
        <rFont val="Arial"/>
        <family val="2"/>
      </rPr>
      <t xml:space="preserve">worksheet's tables.
Cells with a </t>
    </r>
    <r>
      <rPr>
        <sz val="12"/>
        <color rgb="FFFF0000"/>
        <rFont val="Arial"/>
        <family val="2"/>
      </rPr>
      <t>red triangle</t>
    </r>
    <r>
      <rPr>
        <sz val="12"/>
        <rFont val="Arial"/>
        <family val="2"/>
      </rPr>
      <t xml:space="preserve"> in the upper right hand corner contain comments. Just place your cursor on the cell and the comment will be displayed.
There are two Example worksheets (Budget - Example and Reserve Analysis - Example).          </t>
    </r>
  </si>
  <si>
    <r>
      <rPr>
        <b/>
        <sz val="12"/>
        <color rgb="FFFF0000"/>
        <rFont val="Franklin Gothic Book"/>
        <family val="2"/>
      </rPr>
      <t>*</t>
    </r>
    <r>
      <rPr>
        <b/>
        <sz val="12"/>
        <color theme="1"/>
        <rFont val="Franklin Gothic Book"/>
        <family val="2"/>
      </rPr>
      <t>Note:</t>
    </r>
    <r>
      <rPr>
        <sz val="12"/>
        <color theme="1"/>
        <rFont val="Franklin Gothic Book"/>
        <family val="2"/>
      </rPr>
      <t xml:space="preserve"> </t>
    </r>
    <r>
      <rPr>
        <b/>
        <sz val="12"/>
        <color theme="1"/>
        <rFont val="Franklin Gothic Book"/>
        <family val="2"/>
      </rPr>
      <t xml:space="preserve">First, </t>
    </r>
    <r>
      <rPr>
        <b/>
        <sz val="12"/>
        <color rgb="FFFF0000"/>
        <rFont val="Franklin Gothic Book"/>
        <family val="2"/>
      </rPr>
      <t>save this spreadsheet with the original name before doing anything</t>
    </r>
    <r>
      <rPr>
        <sz val="12"/>
        <color theme="1"/>
        <rFont val="Franklin Gothic Book"/>
        <family val="2"/>
      </rPr>
      <t xml:space="preserve">. </t>
    </r>
    <r>
      <rPr>
        <b/>
        <sz val="12"/>
        <color theme="1"/>
        <rFont val="Franklin Gothic Book"/>
        <family val="2"/>
      </rPr>
      <t>Second</t>
    </r>
    <r>
      <rPr>
        <sz val="12"/>
        <color theme="1"/>
        <rFont val="Franklin Gothic Book"/>
        <family val="2"/>
      </rPr>
      <t xml:space="preserve">, this spreadsheet is protected. </t>
    </r>
    <r>
      <rPr>
        <b/>
        <sz val="12"/>
        <color theme="1"/>
        <rFont val="Franklin Gothic Book"/>
        <family val="2"/>
      </rPr>
      <t>Third</t>
    </r>
    <r>
      <rPr>
        <sz val="12"/>
        <color theme="1"/>
        <rFont val="Franklin Gothic Book"/>
        <family val="2"/>
      </rPr>
      <t xml:space="preserve">, count the number of your association's reserve items. If you have more then 10, contact </t>
    </r>
    <r>
      <rPr>
        <b/>
        <sz val="12"/>
        <color theme="1"/>
        <rFont val="Franklin Gothic Book"/>
        <family val="2"/>
      </rPr>
      <t>Roger Helmer</t>
    </r>
    <r>
      <rPr>
        <sz val="12"/>
        <color theme="1"/>
        <rFont val="Franklin Gothic Book"/>
        <family val="2"/>
      </rPr>
      <t xml:space="preserve">. </t>
    </r>
    <r>
      <rPr>
        <b/>
        <sz val="12"/>
        <color theme="1"/>
        <rFont val="Franklin Gothic Book"/>
        <family val="2"/>
      </rPr>
      <t>Fourth</t>
    </r>
    <r>
      <rPr>
        <sz val="12"/>
        <color theme="1"/>
        <rFont val="Franklin Gothic Book"/>
        <family val="2"/>
      </rPr>
      <t xml:space="preserve">, </t>
    </r>
    <r>
      <rPr>
        <b/>
        <u/>
        <sz val="12"/>
        <color theme="1"/>
        <rFont val="Franklin Gothic Book"/>
        <family val="2"/>
      </rPr>
      <t>SAVE</t>
    </r>
    <r>
      <rPr>
        <sz val="12"/>
        <color theme="1"/>
        <rFont val="Franklin Gothic Book"/>
        <family val="2"/>
      </rPr>
      <t xml:space="preserve"> the spreadsheet with your association's name in the title before doing anything else!</t>
    </r>
    <r>
      <rPr>
        <b/>
        <sz val="12"/>
        <color theme="1"/>
        <rFont val="Franklin Gothic Book"/>
        <family val="2"/>
      </rPr>
      <t xml:space="preserve"> If you need help contact Roger Helmer at: rhelmer@ahfc.us or call: (907) 330-8429.</t>
    </r>
  </si>
  <si>
    <t>Will Fill-in Automatically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</si>
</sst>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m/d/yy;@"/>
  </numFmts>
  <fonts count="34" x14ac:knownFonts="1">
    <font>
      <sz val="10"/>
      <name val="Arial"/>
    </font>
    <font>
      <sz val="10"/>
      <name val="Arial"/>
      <family val="2"/>
    </font>
    <font>
      <b/>
      <sz val="10"/>
      <name val="Arial"/>
      <family val="2"/>
    </font>
    <font>
      <sz val="10"/>
      <name val="Arial"/>
      <family val="2"/>
    </font>
    <font>
      <b/>
      <i/>
      <sz val="9"/>
      <name val="Arial"/>
      <family val="2"/>
    </font>
    <font>
      <b/>
      <i/>
      <sz val="10"/>
      <name val="Arial"/>
      <family val="2"/>
    </font>
    <font>
      <sz val="9"/>
      <color indexed="81"/>
      <name val="Tahoma"/>
      <family val="2"/>
    </font>
    <font>
      <b/>
      <sz val="9"/>
      <color indexed="81"/>
      <name val="Tahoma"/>
      <family val="2"/>
    </font>
    <font>
      <b/>
      <sz val="10"/>
      <color rgb="FFFF0000"/>
      <name val="Arial"/>
      <family val="2"/>
    </font>
    <font>
      <b/>
      <sz val="10"/>
      <color theme="3" tint="0.39997558519241921"/>
      <name val="Arial"/>
      <family val="2"/>
    </font>
    <font>
      <b/>
      <sz val="10"/>
      <color theme="1"/>
      <name val="Arial"/>
      <family val="2"/>
    </font>
    <font>
      <b/>
      <sz val="10"/>
      <color theme="1"/>
      <name val="Franklin Gothic Book"/>
      <family val="2"/>
    </font>
    <font>
      <b/>
      <sz val="12"/>
      <color theme="1"/>
      <name val="Franklin Gothic Book"/>
      <family val="2"/>
    </font>
    <font>
      <sz val="10"/>
      <color theme="1"/>
      <name val="Franklin Gothic Book"/>
      <family val="2"/>
    </font>
    <font>
      <sz val="12"/>
      <color theme="1"/>
      <name val="Franklin Gothic Book"/>
      <family val="2"/>
    </font>
    <font>
      <b/>
      <sz val="10"/>
      <color rgb="FFFF0000"/>
      <name val="Franklin Gothic Book"/>
      <family val="2"/>
    </font>
    <font>
      <b/>
      <sz val="12"/>
      <color rgb="FFFF0000"/>
      <name val="Franklin Gothic Book"/>
      <family val="2"/>
    </font>
    <font>
      <b/>
      <sz val="10"/>
      <color indexed="81"/>
      <name val="Tahoma"/>
      <family val="2"/>
    </font>
    <font>
      <sz val="10"/>
      <color indexed="81"/>
      <name val="Tahoma"/>
      <family val="2"/>
    </font>
    <font>
      <b/>
      <sz val="10"/>
      <color indexed="10"/>
      <name val="Tahoma"/>
      <family val="2"/>
    </font>
    <font>
      <b/>
      <u/>
      <sz val="12"/>
      <color theme="1"/>
      <name val="Franklin Gothic Book"/>
      <family val="2"/>
    </font>
    <font>
      <b/>
      <sz val="10"/>
      <color rgb="FF0070C0"/>
      <name val="Arial"/>
      <family val="2"/>
    </font>
    <font>
      <sz val="10"/>
      <color theme="1"/>
      <name val="Arial"/>
      <family val="2"/>
    </font>
    <font>
      <b/>
      <sz val="10"/>
      <color rgb="FF00B050"/>
      <name val="Arial"/>
      <family val="2"/>
    </font>
    <font>
      <b/>
      <sz val="10"/>
      <name val="Franklin Gothic Book"/>
      <family val="2"/>
    </font>
    <font>
      <sz val="12"/>
      <name val="Arial"/>
      <family val="2"/>
    </font>
    <font>
      <b/>
      <sz val="12"/>
      <color rgb="FFFF0000"/>
      <name val="Arial"/>
      <family val="2"/>
    </font>
    <font>
      <b/>
      <sz val="12"/>
      <color theme="1"/>
      <name val="Arial"/>
      <family val="2"/>
    </font>
    <font>
      <u/>
      <sz val="12"/>
      <name val="Arial"/>
      <family val="2"/>
    </font>
    <font>
      <b/>
      <sz val="12"/>
      <name val="Arial"/>
      <family val="2"/>
    </font>
    <font>
      <sz val="12"/>
      <color rgb="FFFF0000"/>
      <name val="Arial"/>
      <family val="2"/>
    </font>
    <font>
      <sz val="10"/>
      <color rgb="FF574123"/>
      <name val="Tahoma"/>
      <family val="2"/>
    </font>
    <font>
      <sz val="10"/>
      <color rgb="FF00B050"/>
      <name val="Arial"/>
      <family val="2"/>
    </font>
    <font>
      <b/>
      <i/>
      <sz val="10"/>
      <color rgb="FF00B050"/>
      <name val="Arial"/>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thin">
        <color indexed="64"/>
      </left>
      <right/>
      <top/>
      <bottom style="thin">
        <color indexed="64"/>
      </bottom>
      <diagonal/>
    </border>
    <border>
      <left style="thin">
        <color auto="1"/>
      </left>
      <right style="thin">
        <color auto="1"/>
      </right>
      <top style="thin">
        <color auto="1"/>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cellStyleXfs>
  <cellXfs count="281">
    <xf numFmtId="0" fontId="0" fillId="0" borderId="0" xfId="0"/>
    <xf numFmtId="0" fontId="2" fillId="0" borderId="0" xfId="0" applyFont="1"/>
    <xf numFmtId="0" fontId="0" fillId="0" borderId="0" xfId="0" applyBorder="1"/>
    <xf numFmtId="44" fontId="0" fillId="0" borderId="0" xfId="0" applyNumberFormat="1"/>
    <xf numFmtId="15" fontId="8" fillId="0" borderId="0" xfId="0" applyNumberFormat="1" applyFont="1"/>
    <xf numFmtId="0" fontId="0" fillId="0" borderId="0" xfId="0" applyFill="1"/>
    <xf numFmtId="44" fontId="0" fillId="0" borderId="0" xfId="2" applyFont="1" applyBorder="1"/>
    <xf numFmtId="0" fontId="2" fillId="0" borderId="0" xfId="0" applyFont="1" applyAlignment="1">
      <alignment horizontal="right"/>
    </xf>
    <xf numFmtId="0" fontId="2" fillId="0" borderId="0" xfId="0" applyFont="1" applyBorder="1" applyAlignment="1">
      <alignment horizontal="right"/>
    </xf>
    <xf numFmtId="0" fontId="3" fillId="0" borderId="0" xfId="0" applyFont="1"/>
    <xf numFmtId="40" fontId="2" fillId="0" borderId="0" xfId="2" applyNumberFormat="1" applyFont="1" applyBorder="1"/>
    <xf numFmtId="40" fontId="2" fillId="0" borderId="5" xfId="2" applyNumberFormat="1" applyFont="1" applyBorder="1"/>
    <xf numFmtId="0" fontId="2" fillId="0" borderId="6" xfId="0" applyFont="1" applyBorder="1" applyAlignment="1" applyProtection="1">
      <alignment horizontal="center"/>
      <protection locked="0"/>
    </xf>
    <xf numFmtId="40" fontId="0" fillId="0" borderId="4" xfId="2" applyNumberFormat="1" applyFont="1" applyBorder="1" applyProtection="1">
      <protection locked="0"/>
    </xf>
    <xf numFmtId="40" fontId="0" fillId="0" borderId="1" xfId="2" applyNumberFormat="1" applyFont="1" applyBorder="1" applyProtection="1">
      <protection locked="0"/>
    </xf>
    <xf numFmtId="40" fontId="2" fillId="2" borderId="0" xfId="0" applyNumberFormat="1" applyFont="1" applyFill="1"/>
    <xf numFmtId="40" fontId="2" fillId="0" borderId="0" xfId="0" applyNumberFormat="1" applyFont="1" applyFill="1"/>
    <xf numFmtId="40" fontId="3" fillId="0" borderId="0" xfId="0" applyNumberFormat="1" applyFont="1" applyFill="1"/>
    <xf numFmtId="40" fontId="2" fillId="0" borderId="0" xfId="1" applyNumberFormat="1" applyFont="1" applyFill="1" applyAlignment="1">
      <alignment horizontal="right"/>
    </xf>
    <xf numFmtId="40" fontId="2" fillId="0" borderId="0" xfId="1" applyNumberFormat="1" applyFont="1" applyFill="1"/>
    <xf numFmtId="40" fontId="3" fillId="0" borderId="0" xfId="0" applyNumberFormat="1" applyFont="1"/>
    <xf numFmtId="40" fontId="2" fillId="0" borderId="0" xfId="1" applyNumberFormat="1" applyFont="1"/>
    <xf numFmtId="40" fontId="2" fillId="0" borderId="0" xfId="0" applyNumberFormat="1" applyFont="1" applyAlignment="1">
      <alignment horizontal="right"/>
    </xf>
    <xf numFmtId="40" fontId="2" fillId="0" borderId="0" xfId="1" applyNumberFormat="1" applyFont="1" applyAlignment="1">
      <alignment horizontal="right"/>
    </xf>
    <xf numFmtId="40" fontId="4" fillId="0" borderId="0" xfId="1" applyNumberFormat="1" applyFont="1"/>
    <xf numFmtId="0" fontId="21" fillId="0" borderId="0" xfId="0" applyFont="1" applyAlignment="1">
      <alignment horizontal="right"/>
    </xf>
    <xf numFmtId="40" fontId="21" fillId="0" borderId="4" xfId="2" applyNumberFormat="1" applyFont="1" applyBorder="1" applyProtection="1">
      <protection locked="0"/>
    </xf>
    <xf numFmtId="40" fontId="21" fillId="0" borderId="1" xfId="2" applyNumberFormat="1" applyFont="1" applyBorder="1" applyProtection="1">
      <protection locked="0"/>
    </xf>
    <xf numFmtId="40" fontId="21" fillId="0" borderId="0" xfId="2" applyNumberFormat="1" applyFont="1" applyBorder="1"/>
    <xf numFmtId="40" fontId="21" fillId="0" borderId="5" xfId="2" applyNumberFormat="1" applyFont="1" applyBorder="1"/>
    <xf numFmtId="40" fontId="21" fillId="2" borderId="0" xfId="0" applyNumberFormat="1" applyFont="1" applyFill="1"/>
    <xf numFmtId="0" fontId="2" fillId="0" borderId="13" xfId="0" applyFont="1" applyBorder="1" applyAlignment="1">
      <alignment horizontal="right"/>
    </xf>
    <xf numFmtId="0" fontId="21" fillId="0" borderId="2" xfId="0" applyFont="1" applyBorder="1" applyAlignment="1" applyProtection="1">
      <alignment horizontal="center"/>
      <protection locked="0"/>
    </xf>
    <xf numFmtId="40" fontId="21" fillId="0" borderId="10" xfId="2" applyNumberFormat="1" applyFont="1" applyBorder="1" applyProtection="1">
      <protection locked="0"/>
    </xf>
    <xf numFmtId="40" fontId="21" fillId="0" borderId="13" xfId="0" applyNumberFormat="1" applyFont="1" applyBorder="1" applyProtection="1">
      <protection hidden="1"/>
    </xf>
    <xf numFmtId="40" fontId="22" fillId="0" borderId="12" xfId="0" applyNumberFormat="1" applyFont="1" applyBorder="1"/>
    <xf numFmtId="0" fontId="0" fillId="0" borderId="0" xfId="0" applyAlignment="1"/>
    <xf numFmtId="40" fontId="10" fillId="0" borderId="13" xfId="0" applyNumberFormat="1" applyFont="1" applyBorder="1" applyProtection="1">
      <protection hidden="1"/>
    </xf>
    <xf numFmtId="49" fontId="11" fillId="0" borderId="0" xfId="3" applyNumberFormat="1" applyFont="1" applyBorder="1" applyAlignment="1" applyProtection="1">
      <alignment horizontal="right"/>
    </xf>
    <xf numFmtId="0" fontId="11" fillId="0" borderId="2" xfId="3" applyFont="1" applyBorder="1" applyAlignment="1" applyProtection="1">
      <alignment horizontal="center"/>
      <protection locked="0"/>
    </xf>
    <xf numFmtId="14" fontId="11" fillId="0" borderId="2" xfId="3" applyNumberFormat="1" applyFont="1" applyBorder="1" applyProtection="1">
      <protection locked="0"/>
    </xf>
    <xf numFmtId="0" fontId="13" fillId="0" borderId="0" xfId="3" applyFont="1" applyProtection="1">
      <protection locked="0"/>
    </xf>
    <xf numFmtId="0" fontId="1" fillId="0" borderId="0" xfId="3"/>
    <xf numFmtId="38" fontId="12" fillId="0" borderId="2" xfId="3" applyNumberFormat="1" applyFont="1" applyBorder="1" applyAlignment="1" applyProtection="1">
      <alignment horizontal="center"/>
      <protection locked="0"/>
    </xf>
    <xf numFmtId="0" fontId="13" fillId="0" borderId="0" xfId="3" applyFont="1" applyAlignment="1" applyProtection="1">
      <protection locked="0"/>
    </xf>
    <xf numFmtId="4" fontId="13" fillId="0" borderId="0" xfId="3" applyNumberFormat="1" applyFont="1" applyAlignment="1" applyProtection="1">
      <alignment horizontal="center"/>
      <protection locked="0"/>
    </xf>
    <xf numFmtId="164" fontId="11" fillId="0" borderId="2" xfId="3" applyNumberFormat="1" applyFont="1" applyBorder="1" applyAlignment="1" applyProtection="1">
      <alignment horizontal="center"/>
      <protection locked="0"/>
    </xf>
    <xf numFmtId="40" fontId="11" fillId="0" borderId="2" xfId="3" applyNumberFormat="1" applyFont="1" applyBorder="1" applyAlignment="1" applyProtection="1">
      <alignment horizontal="center"/>
    </xf>
    <xf numFmtId="0" fontId="13" fillId="0" borderId="0" xfId="3" applyFont="1" applyAlignment="1" applyProtection="1">
      <alignment horizontal="right"/>
      <protection locked="0"/>
    </xf>
    <xf numFmtId="4" fontId="13" fillId="0" borderId="0" xfId="3" applyNumberFormat="1" applyFont="1" applyProtection="1">
      <protection locked="0"/>
    </xf>
    <xf numFmtId="0" fontId="13" fillId="0" borderId="0" xfId="3" applyFont="1" applyBorder="1" applyAlignment="1" applyProtection="1">
      <alignment vertical="top" wrapText="1"/>
    </xf>
    <xf numFmtId="0" fontId="13" fillId="0" borderId="0" xfId="3" applyFont="1" applyBorder="1" applyAlignment="1" applyProtection="1">
      <alignment wrapText="1"/>
    </xf>
    <xf numFmtId="0" fontId="11" fillId="0" borderId="9" xfId="3" applyFont="1" applyFill="1" applyBorder="1" applyAlignment="1" applyProtection="1">
      <alignment horizontal="center" wrapText="1"/>
    </xf>
    <xf numFmtId="4" fontId="11" fillId="0" borderId="10" xfId="3" applyNumberFormat="1" applyFont="1" applyFill="1" applyBorder="1" applyAlignment="1" applyProtection="1">
      <alignment horizontal="center" wrapText="1"/>
    </xf>
    <xf numFmtId="0" fontId="11" fillId="0" borderId="10" xfId="3" applyFont="1" applyFill="1" applyBorder="1" applyAlignment="1" applyProtection="1">
      <alignment horizontal="center" wrapText="1"/>
    </xf>
    <xf numFmtId="0" fontId="11" fillId="0" borderId="11" xfId="3" applyFont="1" applyFill="1" applyBorder="1" applyAlignment="1" applyProtection="1">
      <alignment horizontal="center" wrapText="1"/>
    </xf>
    <xf numFmtId="49" fontId="11" fillId="0" borderId="9" xfId="3" applyNumberFormat="1" applyFont="1" applyBorder="1" applyProtection="1"/>
    <xf numFmtId="38" fontId="13" fillId="0" borderId="10" xfId="3" applyNumberFormat="1" applyFont="1" applyBorder="1" applyAlignment="1" applyProtection="1">
      <alignment horizontal="center"/>
      <protection locked="0"/>
    </xf>
    <xf numFmtId="38" fontId="11" fillId="0" borderId="10" xfId="3" applyNumberFormat="1" applyFont="1" applyBorder="1" applyAlignment="1" applyProtection="1">
      <alignment horizontal="center"/>
    </xf>
    <xf numFmtId="38" fontId="13" fillId="0" borderId="10" xfId="3" applyNumberFormat="1" applyFont="1" applyBorder="1" applyProtection="1">
      <protection hidden="1"/>
    </xf>
    <xf numFmtId="38" fontId="13" fillId="0" borderId="10" xfId="3" applyNumberFormat="1" applyFont="1" applyBorder="1" applyProtection="1">
      <protection locked="0"/>
    </xf>
    <xf numFmtId="38" fontId="11" fillId="0" borderId="10" xfId="3" applyNumberFormat="1" applyFont="1" applyBorder="1" applyProtection="1">
      <protection hidden="1"/>
    </xf>
    <xf numFmtId="10" fontId="13" fillId="0" borderId="10" xfId="3" applyNumberFormat="1" applyFont="1" applyBorder="1" applyProtection="1">
      <protection hidden="1"/>
    </xf>
    <xf numFmtId="0" fontId="13" fillId="0" borderId="0" xfId="3" applyFont="1" applyBorder="1" applyAlignment="1" applyProtection="1">
      <alignment horizontal="center"/>
      <protection locked="0"/>
    </xf>
    <xf numFmtId="38" fontId="11" fillId="0" borderId="0" xfId="3" applyNumberFormat="1" applyFont="1" applyBorder="1" applyAlignment="1" applyProtection="1">
      <alignment horizontal="right"/>
      <protection hidden="1"/>
    </xf>
    <xf numFmtId="38" fontId="11" fillId="0" borderId="12" xfId="3" applyNumberFormat="1" applyFont="1" applyBorder="1" applyProtection="1">
      <protection hidden="1"/>
    </xf>
    <xf numFmtId="0" fontId="13" fillId="0" borderId="0" xfId="3" applyFont="1" applyBorder="1" applyProtection="1">
      <protection locked="0"/>
    </xf>
    <xf numFmtId="0" fontId="14" fillId="0" borderId="0" xfId="3" applyFont="1" applyAlignment="1" applyProtection="1">
      <alignment horizontal="center" vertical="top" wrapText="1"/>
    </xf>
    <xf numFmtId="10" fontId="13" fillId="0" borderId="6" xfId="3" applyNumberFormat="1" applyFont="1" applyBorder="1" applyProtection="1">
      <protection hidden="1"/>
    </xf>
    <xf numFmtId="38" fontId="13" fillId="0" borderId="6" xfId="3" applyNumberFormat="1" applyFont="1" applyBorder="1" applyProtection="1">
      <protection locked="0"/>
    </xf>
    <xf numFmtId="38" fontId="13" fillId="0" borderId="11" xfId="3" applyNumberFormat="1" applyFont="1" applyBorder="1" applyProtection="1">
      <protection hidden="1"/>
    </xf>
    <xf numFmtId="38" fontId="13" fillId="0" borderId="11" xfId="3" applyNumberFormat="1" applyFont="1" applyBorder="1" applyAlignment="1" applyProtection="1">
      <alignment horizontal="center"/>
      <protection locked="0"/>
    </xf>
    <xf numFmtId="44" fontId="10" fillId="0" borderId="0" xfId="2" applyFont="1" applyBorder="1" applyAlignment="1">
      <alignment horizontal="left"/>
    </xf>
    <xf numFmtId="0" fontId="11" fillId="0" borderId="0" xfId="3" applyFont="1" applyAlignment="1" applyProtection="1">
      <alignment horizontal="right"/>
    </xf>
    <xf numFmtId="0" fontId="13" fillId="0" borderId="0" xfId="3" applyFont="1" applyProtection="1"/>
    <xf numFmtId="0" fontId="13" fillId="0" borderId="0" xfId="3" applyFont="1" applyAlignment="1" applyProtection="1"/>
    <xf numFmtId="4" fontId="13" fillId="0" borderId="0" xfId="3" applyNumberFormat="1" applyFont="1" applyAlignment="1" applyProtection="1">
      <alignment horizontal="center"/>
    </xf>
    <xf numFmtId="40" fontId="13" fillId="0" borderId="0" xfId="3" applyNumberFormat="1" applyFont="1" applyBorder="1" applyAlignment="1" applyProtection="1"/>
    <xf numFmtId="0" fontId="13" fillId="0" borderId="0" xfId="3" applyFont="1" applyAlignment="1" applyProtection="1">
      <alignment horizontal="right"/>
    </xf>
    <xf numFmtId="4" fontId="13" fillId="0" borderId="0" xfId="3" applyNumberFormat="1" applyFont="1" applyProtection="1"/>
    <xf numFmtId="49" fontId="13" fillId="0" borderId="9" xfId="3" applyNumberFormat="1" applyFont="1" applyBorder="1" applyProtection="1"/>
    <xf numFmtId="38" fontId="13" fillId="0" borderId="10" xfId="3" applyNumberFormat="1" applyFont="1" applyBorder="1" applyAlignment="1" applyProtection="1">
      <alignment horizontal="center"/>
    </xf>
    <xf numFmtId="38" fontId="13" fillId="0" borderId="10" xfId="3" applyNumberFormat="1" applyFont="1" applyBorder="1" applyProtection="1"/>
    <xf numFmtId="10" fontId="13" fillId="0" borderId="10" xfId="3" applyNumberFormat="1" applyFont="1" applyBorder="1" applyProtection="1"/>
    <xf numFmtId="49" fontId="13" fillId="0" borderId="9" xfId="3" applyNumberFormat="1" applyFont="1" applyBorder="1" applyProtection="1">
      <protection locked="0"/>
    </xf>
    <xf numFmtId="10" fontId="13" fillId="0" borderId="6" xfId="3" applyNumberFormat="1" applyFont="1" applyBorder="1" applyProtection="1"/>
    <xf numFmtId="0" fontId="13" fillId="0" borderId="0" xfId="3" applyFont="1" applyBorder="1" applyAlignment="1" applyProtection="1">
      <alignment horizontal="right"/>
    </xf>
    <xf numFmtId="38" fontId="11" fillId="0" borderId="12" xfId="3" applyNumberFormat="1" applyFont="1" applyBorder="1" applyProtection="1"/>
    <xf numFmtId="10" fontId="11" fillId="0" borderId="10" xfId="3" applyNumberFormat="1" applyFont="1" applyBorder="1" applyProtection="1"/>
    <xf numFmtId="40" fontId="1" fillId="0" borderId="10" xfId="2" applyNumberFormat="1" applyFont="1" applyBorder="1" applyProtection="1">
      <protection locked="0"/>
    </xf>
    <xf numFmtId="0" fontId="1" fillId="0" borderId="9" xfId="0" applyFont="1" applyBorder="1"/>
    <xf numFmtId="0" fontId="2" fillId="0" borderId="0" xfId="0" applyFont="1" applyFill="1" applyAlignment="1">
      <alignment horizontal="right"/>
    </xf>
    <xf numFmtId="0" fontId="0" fillId="0" borderId="0" xfId="0" applyFill="1" applyBorder="1"/>
    <xf numFmtId="40" fontId="21" fillId="2" borderId="0" xfId="0" applyNumberFormat="1" applyFont="1" applyFill="1" applyBorder="1"/>
    <xf numFmtId="40" fontId="2" fillId="2" borderId="0" xfId="0" applyNumberFormat="1" applyFont="1" applyFill="1" applyBorder="1"/>
    <xf numFmtId="40" fontId="10" fillId="0" borderId="10" xfId="2" applyNumberFormat="1" applyFont="1" applyBorder="1" applyAlignment="1">
      <alignment horizontal="right"/>
    </xf>
    <xf numFmtId="40" fontId="10" fillId="0" borderId="0" xfId="2" applyNumberFormat="1" applyFont="1" applyBorder="1"/>
    <xf numFmtId="44" fontId="22" fillId="0" borderId="0" xfId="0" applyNumberFormat="1" applyFont="1"/>
    <xf numFmtId="40" fontId="22" fillId="0" borderId="0" xfId="0" applyNumberFormat="1" applyFont="1"/>
    <xf numFmtId="44" fontId="10" fillId="0" borderId="3" xfId="0" applyNumberFormat="1" applyFont="1" applyBorder="1"/>
    <xf numFmtId="44" fontId="10" fillId="0" borderId="0" xfId="0" applyNumberFormat="1" applyFont="1"/>
    <xf numFmtId="40" fontId="10" fillId="0" borderId="10" xfId="0" applyNumberFormat="1" applyFont="1" applyFill="1" applyBorder="1"/>
    <xf numFmtId="0" fontId="1" fillId="0" borderId="0" xfId="0" applyFont="1"/>
    <xf numFmtId="0" fontId="31" fillId="0" borderId="0" xfId="0" applyFont="1"/>
    <xf numFmtId="0" fontId="0" fillId="0" borderId="2" xfId="0" applyBorder="1" applyAlignment="1" applyProtection="1">
      <alignment horizontal="center"/>
      <protection locked="0"/>
    </xf>
    <xf numFmtId="164" fontId="0" fillId="0" borderId="2" xfId="0" applyNumberFormat="1" applyBorder="1" applyProtection="1">
      <protection locked="0"/>
    </xf>
    <xf numFmtId="40" fontId="21" fillId="0" borderId="8" xfId="2" applyNumberFormat="1" applyFont="1" applyBorder="1" applyProtection="1"/>
    <xf numFmtId="40" fontId="21" fillId="0" borderId="13" xfId="0" applyNumberFormat="1" applyFont="1" applyBorder="1" applyProtection="1"/>
    <xf numFmtId="40" fontId="0" fillId="0" borderId="4" xfId="2" applyNumberFormat="1" applyFont="1" applyBorder="1" applyProtection="1"/>
    <xf numFmtId="40" fontId="1" fillId="0" borderId="4" xfId="2" applyNumberFormat="1" applyFont="1" applyBorder="1" applyProtection="1"/>
    <xf numFmtId="40" fontId="10" fillId="0" borderId="13" xfId="0" applyNumberFormat="1" applyFont="1" applyBorder="1" applyProtection="1"/>
    <xf numFmtId="40" fontId="0" fillId="0" borderId="1" xfId="2" applyNumberFormat="1" applyFont="1" applyBorder="1" applyProtection="1"/>
    <xf numFmtId="40" fontId="1" fillId="0" borderId="10" xfId="2" applyNumberFormat="1" applyFont="1" applyBorder="1" applyProtection="1"/>
    <xf numFmtId="0" fontId="1" fillId="0" borderId="9" xfId="0" applyFont="1" applyBorder="1" applyProtection="1">
      <protection locked="0"/>
    </xf>
    <xf numFmtId="40" fontId="21" fillId="0" borderId="7" xfId="2" applyNumberFormat="1" applyFont="1" applyBorder="1" applyProtection="1"/>
    <xf numFmtId="40" fontId="21" fillId="0" borderId="9" xfId="2" applyNumberFormat="1" applyFont="1" applyBorder="1" applyProtection="1"/>
    <xf numFmtId="0" fontId="21" fillId="0" borderId="13" xfId="0" applyNumberFormat="1" applyFont="1" applyBorder="1" applyProtection="1"/>
    <xf numFmtId="49" fontId="0" fillId="0" borderId="9" xfId="0" applyNumberFormat="1" applyBorder="1" applyProtection="1"/>
    <xf numFmtId="40" fontId="22" fillId="0" borderId="4" xfId="2" applyNumberFormat="1" applyFont="1" applyBorder="1" applyProtection="1">
      <protection locked="0"/>
    </xf>
    <xf numFmtId="49" fontId="1" fillId="0" borderId="9" xfId="0" applyNumberFormat="1" applyFont="1" applyBorder="1" applyProtection="1"/>
    <xf numFmtId="0" fontId="1" fillId="0" borderId="2" xfId="0" applyFont="1" applyBorder="1" applyProtection="1">
      <protection locked="0"/>
    </xf>
    <xf numFmtId="0" fontId="0" fillId="0" borderId="2" xfId="0" applyBorder="1" applyProtection="1"/>
    <xf numFmtId="0" fontId="0" fillId="0" borderId="6" xfId="0" applyBorder="1" applyProtection="1"/>
    <xf numFmtId="0" fontId="11" fillId="0" borderId="0" xfId="3" applyFont="1" applyAlignment="1" applyProtection="1">
      <alignment horizontal="right"/>
    </xf>
    <xf numFmtId="0" fontId="0" fillId="0" borderId="2" xfId="0" applyBorder="1" applyAlignment="1" applyProtection="1">
      <alignment horizontal="center"/>
    </xf>
    <xf numFmtId="164" fontId="1" fillId="0" borderId="2" xfId="0" applyNumberFormat="1" applyFont="1" applyBorder="1" applyAlignment="1" applyProtection="1">
      <alignment horizontal="center"/>
    </xf>
    <xf numFmtId="0" fontId="21" fillId="0" borderId="2" xfId="0" applyFont="1" applyBorder="1" applyAlignment="1" applyProtection="1">
      <alignment horizontal="center"/>
    </xf>
    <xf numFmtId="0" fontId="2" fillId="0" borderId="6" xfId="0" applyFont="1" applyBorder="1" applyAlignment="1" applyProtection="1">
      <alignment horizontal="center"/>
    </xf>
    <xf numFmtId="0" fontId="1" fillId="0" borderId="2" xfId="0" applyFont="1" applyBorder="1" applyProtection="1"/>
    <xf numFmtId="0" fontId="0" fillId="0" borderId="6" xfId="0" applyFill="1" applyBorder="1" applyProtection="1"/>
    <xf numFmtId="44" fontId="10" fillId="0" borderId="0" xfId="2" applyFont="1" applyBorder="1" applyAlignment="1" applyProtection="1">
      <alignment horizontal="left"/>
    </xf>
    <xf numFmtId="44" fontId="23" fillId="0" borderId="0" xfId="2" applyFont="1" applyBorder="1" applyAlignment="1" applyProtection="1">
      <alignment horizontal="center"/>
    </xf>
    <xf numFmtId="44" fontId="10" fillId="0" borderId="0" xfId="2" applyFont="1" applyBorder="1" applyAlignment="1" applyProtection="1">
      <alignment horizontal="center"/>
    </xf>
    <xf numFmtId="0" fontId="10" fillId="3" borderId="9" xfId="0" applyFont="1" applyFill="1" applyBorder="1" applyProtection="1"/>
    <xf numFmtId="0" fontId="21" fillId="3" borderId="2" xfId="2" applyNumberFormat="1" applyFont="1" applyFill="1" applyBorder="1" applyAlignment="1" applyProtection="1">
      <alignment horizontal="center" wrapText="1"/>
    </xf>
    <xf numFmtId="0" fontId="21" fillId="3" borderId="2" xfId="2" applyNumberFormat="1" applyFont="1" applyFill="1" applyBorder="1" applyAlignment="1" applyProtection="1">
      <alignment horizontal="center"/>
    </xf>
    <xf numFmtId="0" fontId="10" fillId="3" borderId="2" xfId="2" applyNumberFormat="1" applyFont="1" applyFill="1" applyBorder="1" applyAlignment="1" applyProtection="1">
      <alignment horizontal="center" wrapText="1"/>
    </xf>
    <xf numFmtId="0" fontId="1" fillId="0" borderId="9" xfId="0" applyFont="1" applyBorder="1" applyProtection="1"/>
    <xf numFmtId="40" fontId="21" fillId="0" borderId="4" xfId="2" applyNumberFormat="1" applyFont="1" applyBorder="1" applyProtection="1"/>
    <xf numFmtId="0" fontId="2" fillId="0" borderId="13" xfId="0" applyFont="1" applyBorder="1" applyAlignment="1" applyProtection="1">
      <alignment horizontal="right"/>
    </xf>
    <xf numFmtId="44" fontId="21" fillId="3" borderId="0" xfId="0" applyNumberFormat="1" applyFont="1" applyFill="1" applyAlignment="1" applyProtection="1">
      <alignment horizontal="center" wrapText="1"/>
    </xf>
    <xf numFmtId="44" fontId="21" fillId="3" borderId="0" xfId="0" applyNumberFormat="1" applyFont="1" applyFill="1" applyAlignment="1" applyProtection="1">
      <alignment horizontal="center"/>
    </xf>
    <xf numFmtId="0" fontId="10" fillId="3" borderId="0" xfId="0" applyFont="1" applyFill="1" applyAlignment="1" applyProtection="1">
      <alignment horizontal="center" wrapText="1"/>
    </xf>
    <xf numFmtId="44" fontId="10" fillId="3" borderId="0" xfId="0" applyNumberFormat="1" applyFont="1" applyFill="1" applyAlignment="1" applyProtection="1">
      <alignment horizontal="center" wrapText="1"/>
    </xf>
    <xf numFmtId="40" fontId="21" fillId="0" borderId="1" xfId="2" applyNumberFormat="1" applyFont="1" applyBorder="1" applyProtection="1"/>
    <xf numFmtId="40" fontId="21" fillId="0" borderId="10" xfId="2" applyNumberFormat="1" applyFont="1" applyBorder="1" applyProtection="1"/>
    <xf numFmtId="40" fontId="1" fillId="0" borderId="12" xfId="0" applyNumberFormat="1" applyFont="1" applyBorder="1" applyProtection="1"/>
    <xf numFmtId="44" fontId="21" fillId="3" borderId="2" xfId="2" applyFont="1" applyFill="1" applyBorder="1" applyAlignment="1" applyProtection="1">
      <alignment horizontal="center"/>
    </xf>
    <xf numFmtId="44" fontId="10" fillId="3" borderId="2" xfId="2" applyFont="1" applyFill="1" applyBorder="1" applyAlignment="1" applyProtection="1">
      <alignment horizontal="center"/>
    </xf>
    <xf numFmtId="40" fontId="22" fillId="0" borderId="4" xfId="2" applyNumberFormat="1" applyFont="1" applyBorder="1" applyProtection="1"/>
    <xf numFmtId="40" fontId="21" fillId="0" borderId="12" xfId="0" applyNumberFormat="1" applyFont="1" applyBorder="1" applyProtection="1"/>
    <xf numFmtId="40" fontId="22" fillId="0" borderId="12" xfId="0" applyNumberFormat="1" applyFont="1" applyBorder="1" applyProtection="1"/>
    <xf numFmtId="0" fontId="5" fillId="0" borderId="0" xfId="0" applyFont="1" applyAlignment="1" applyProtection="1">
      <alignment horizontal="center" vertical="center" wrapText="1"/>
    </xf>
    <xf numFmtId="40" fontId="21" fillId="0" borderId="0" xfId="2" applyNumberFormat="1" applyFont="1" applyBorder="1" applyProtection="1"/>
    <xf numFmtId="40" fontId="0" fillId="0" borderId="0" xfId="2" applyNumberFormat="1" applyFont="1" applyBorder="1" applyProtection="1"/>
    <xf numFmtId="0" fontId="2" fillId="0" borderId="10" xfId="0" applyFont="1" applyBorder="1" applyAlignment="1" applyProtection="1">
      <alignment horizontal="right" vertical="center" wrapText="1"/>
    </xf>
    <xf numFmtId="40" fontId="21" fillId="0" borderId="10" xfId="2" applyNumberFormat="1" applyFont="1" applyBorder="1" applyAlignment="1" applyProtection="1">
      <alignment horizontal="right"/>
    </xf>
    <xf numFmtId="40" fontId="10" fillId="0" borderId="10" xfId="2" applyNumberFormat="1" applyFont="1" applyBorder="1" applyAlignment="1" applyProtection="1">
      <alignment horizontal="right"/>
    </xf>
    <xf numFmtId="0" fontId="2" fillId="0" borderId="0" xfId="0" applyFont="1" applyAlignment="1" applyProtection="1">
      <alignment horizontal="right"/>
    </xf>
    <xf numFmtId="40" fontId="10" fillId="0" borderId="0" xfId="2" applyNumberFormat="1" applyFont="1" applyBorder="1" applyProtection="1"/>
    <xf numFmtId="0" fontId="0" fillId="0" borderId="0" xfId="0" applyProtection="1"/>
    <xf numFmtId="0" fontId="21" fillId="0" borderId="0" xfId="0" applyFont="1" applyProtection="1"/>
    <xf numFmtId="0" fontId="22" fillId="0" borderId="0" xfId="0" applyFont="1" applyProtection="1"/>
    <xf numFmtId="44" fontId="22" fillId="0" borderId="0" xfId="0" applyNumberFormat="1" applyFont="1" applyProtection="1"/>
    <xf numFmtId="0" fontId="2" fillId="0" borderId="0" xfId="0" applyFont="1" applyFill="1" applyBorder="1" applyAlignment="1" applyProtection="1">
      <alignment horizontal="right"/>
    </xf>
    <xf numFmtId="40" fontId="21" fillId="0" borderId="0" xfId="0" applyNumberFormat="1" applyFont="1" applyProtection="1"/>
    <xf numFmtId="40" fontId="22" fillId="0" borderId="0" xfId="0" applyNumberFormat="1" applyFont="1" applyProtection="1"/>
    <xf numFmtId="0" fontId="3" fillId="0" borderId="3" xfId="0" applyFont="1" applyBorder="1" applyProtection="1"/>
    <xf numFmtId="0" fontId="21" fillId="0" borderId="3" xfId="0" applyFont="1" applyBorder="1" applyProtection="1"/>
    <xf numFmtId="0" fontId="9" fillId="0" borderId="3" xfId="0" applyFont="1" applyBorder="1" applyProtection="1"/>
    <xf numFmtId="44" fontId="10" fillId="0" borderId="3" xfId="0" applyNumberFormat="1" applyFont="1" applyBorder="1" applyProtection="1"/>
    <xf numFmtId="0" fontId="22" fillId="0" borderId="3" xfId="0" applyFont="1" applyBorder="1" applyProtection="1"/>
    <xf numFmtId="0" fontId="3" fillId="0" borderId="0" xfId="0" applyFont="1" applyProtection="1"/>
    <xf numFmtId="0" fontId="9" fillId="0" borderId="0" xfId="0" applyFont="1" applyProtection="1"/>
    <xf numFmtId="44" fontId="10" fillId="0" borderId="0" xfId="0" applyNumberFormat="1" applyFont="1" applyProtection="1"/>
    <xf numFmtId="0" fontId="2" fillId="0" borderId="0" xfId="0" applyFont="1" applyProtection="1"/>
    <xf numFmtId="0" fontId="2" fillId="0" borderId="10" xfId="0" applyFont="1" applyBorder="1" applyAlignment="1" applyProtection="1">
      <alignment horizontal="right"/>
    </xf>
    <xf numFmtId="40" fontId="21" fillId="0" borderId="10" xfId="0" applyNumberFormat="1" applyFont="1" applyFill="1" applyBorder="1" applyProtection="1"/>
    <xf numFmtId="40" fontId="10" fillId="0" borderId="10" xfId="0" applyNumberFormat="1" applyFont="1" applyFill="1" applyBorder="1" applyProtection="1"/>
    <xf numFmtId="38" fontId="13" fillId="0" borderId="6" xfId="3" applyNumberFormat="1" applyFont="1" applyBorder="1" applyProtection="1"/>
    <xf numFmtId="0" fontId="11" fillId="0" borderId="2" xfId="3" applyFont="1" applyBorder="1" applyAlignment="1" applyProtection="1">
      <alignment horizontal="center"/>
    </xf>
    <xf numFmtId="14" fontId="11" fillId="0" borderId="2" xfId="3" applyNumberFormat="1" applyFont="1" applyBorder="1" applyProtection="1"/>
    <xf numFmtId="38" fontId="12" fillId="0" borderId="2" xfId="3" applyNumberFormat="1" applyFont="1" applyBorder="1" applyAlignment="1" applyProtection="1">
      <alignment horizontal="center"/>
    </xf>
    <xf numFmtId="164" fontId="11" fillId="0" borderId="2" xfId="3" applyNumberFormat="1" applyFont="1" applyBorder="1" applyAlignment="1" applyProtection="1">
      <alignment horizontal="center"/>
    </xf>
    <xf numFmtId="0" fontId="11" fillId="0" borderId="8" xfId="3" applyFont="1" applyFill="1" applyBorder="1" applyAlignment="1" applyProtection="1">
      <alignment horizontal="center" wrapText="1"/>
    </xf>
    <xf numFmtId="4" fontId="11" fillId="0" borderId="4" xfId="3" applyNumberFormat="1" applyFont="1" applyFill="1" applyBorder="1" applyAlignment="1" applyProtection="1">
      <alignment horizontal="center" wrapText="1"/>
    </xf>
    <xf numFmtId="0" fontId="11" fillId="0" borderId="4" xfId="3" applyFont="1" applyFill="1" applyBorder="1" applyAlignment="1" applyProtection="1">
      <alignment horizontal="center" wrapText="1"/>
    </xf>
    <xf numFmtId="0" fontId="11" fillId="0" borderId="15" xfId="3" applyFont="1" applyFill="1" applyBorder="1" applyAlignment="1" applyProtection="1">
      <alignment horizontal="center" wrapText="1"/>
    </xf>
    <xf numFmtId="38" fontId="11" fillId="0" borderId="11" xfId="3" applyNumberFormat="1" applyFont="1" applyBorder="1" applyProtection="1">
      <protection hidden="1"/>
    </xf>
    <xf numFmtId="49" fontId="12" fillId="0" borderId="9" xfId="3" applyNumberFormat="1" applyFont="1" applyBorder="1" applyProtection="1"/>
    <xf numFmtId="38" fontId="13" fillId="0" borderId="11" xfId="3" applyNumberFormat="1" applyFont="1" applyBorder="1" applyAlignment="1" applyProtection="1">
      <alignment horizontal="center"/>
    </xf>
    <xf numFmtId="0" fontId="11" fillId="0" borderId="0" xfId="3" applyFont="1" applyBorder="1" applyProtection="1"/>
    <xf numFmtId="0" fontId="13" fillId="0" borderId="0" xfId="3" applyFont="1" applyBorder="1" applyAlignment="1" applyProtection="1">
      <alignment horizontal="center"/>
    </xf>
    <xf numFmtId="10" fontId="13" fillId="0" borderId="16" xfId="3" applyNumberFormat="1" applyFont="1" applyBorder="1" applyProtection="1">
      <protection hidden="1"/>
    </xf>
    <xf numFmtId="38" fontId="11" fillId="0" borderId="14" xfId="3" applyNumberFormat="1" applyFont="1" applyBorder="1" applyProtection="1">
      <protection hidden="1"/>
    </xf>
    <xf numFmtId="0" fontId="23" fillId="0" borderId="0" xfId="0" applyFont="1" applyAlignment="1">
      <alignment horizontal="right"/>
    </xf>
    <xf numFmtId="0" fontId="23" fillId="0" borderId="0" xfId="0" applyFont="1" applyFill="1" applyAlignment="1">
      <alignment horizontal="right"/>
    </xf>
    <xf numFmtId="40" fontId="23" fillId="0" borderId="8" xfId="2" applyNumberFormat="1" applyFont="1" applyBorder="1" applyProtection="1"/>
    <xf numFmtId="40" fontId="23" fillId="0" borderId="13" xfId="0" applyNumberFormat="1" applyFont="1" applyBorder="1" applyProtection="1"/>
    <xf numFmtId="40" fontId="32" fillId="0" borderId="4" xfId="2" applyNumberFormat="1" applyFont="1" applyBorder="1" applyProtection="1"/>
    <xf numFmtId="40" fontId="32" fillId="0" borderId="1" xfId="2" applyNumberFormat="1" applyFont="1" applyBorder="1" applyProtection="1"/>
    <xf numFmtId="40" fontId="32" fillId="0" borderId="10" xfId="2" applyNumberFormat="1" applyFont="1" applyBorder="1" applyProtection="1"/>
    <xf numFmtId="40" fontId="23" fillId="0" borderId="7" xfId="2" applyNumberFormat="1" applyFont="1" applyBorder="1" applyProtection="1"/>
    <xf numFmtId="40" fontId="23" fillId="0" borderId="9" xfId="2" applyNumberFormat="1" applyFont="1" applyBorder="1" applyProtection="1"/>
    <xf numFmtId="0" fontId="23" fillId="0" borderId="13" xfId="0" applyNumberFormat="1" applyFont="1" applyBorder="1" applyProtection="1"/>
    <xf numFmtId="40" fontId="23" fillId="0" borderId="13" xfId="0" applyNumberFormat="1" applyFont="1" applyBorder="1" applyProtection="1">
      <protection hidden="1"/>
    </xf>
    <xf numFmtId="40" fontId="32" fillId="0" borderId="12" xfId="0" applyNumberFormat="1" applyFont="1" applyBorder="1" applyProtection="1">
      <protection hidden="1"/>
    </xf>
    <xf numFmtId="40" fontId="23" fillId="0" borderId="8" xfId="2" applyNumberFormat="1" applyFont="1" applyBorder="1"/>
    <xf numFmtId="40" fontId="23" fillId="0" borderId="12" xfId="0" applyNumberFormat="1" applyFont="1" applyBorder="1"/>
    <xf numFmtId="40" fontId="32" fillId="0" borderId="12" xfId="0" applyNumberFormat="1" applyFont="1" applyBorder="1"/>
    <xf numFmtId="40" fontId="23" fillId="0" borderId="0" xfId="2" applyNumberFormat="1" applyFont="1" applyBorder="1"/>
    <xf numFmtId="40" fontId="32" fillId="0" borderId="0" xfId="2" applyNumberFormat="1" applyFont="1" applyBorder="1"/>
    <xf numFmtId="40" fontId="23" fillId="0" borderId="10" xfId="2" applyNumberFormat="1" applyFont="1" applyBorder="1" applyAlignment="1">
      <alignment horizontal="right"/>
    </xf>
    <xf numFmtId="0" fontId="32" fillId="0" borderId="0" xfId="0" applyFont="1"/>
    <xf numFmtId="0" fontId="23" fillId="0" borderId="0" xfId="0" applyFont="1"/>
    <xf numFmtId="40" fontId="23" fillId="0" borderId="0" xfId="0" applyNumberFormat="1" applyFont="1"/>
    <xf numFmtId="40" fontId="32" fillId="0" borderId="0" xfId="0" applyNumberFormat="1" applyFont="1"/>
    <xf numFmtId="0" fontId="32" fillId="0" borderId="3" xfId="0" applyFont="1" applyBorder="1"/>
    <xf numFmtId="0" fontId="23" fillId="0" borderId="3" xfId="0" applyFont="1" applyBorder="1"/>
    <xf numFmtId="44" fontId="23" fillId="0" borderId="3" xfId="0" applyNumberFormat="1" applyFont="1" applyBorder="1"/>
    <xf numFmtId="44" fontId="23" fillId="0" borderId="0" xfId="0" applyNumberFormat="1" applyFont="1"/>
    <xf numFmtId="40" fontId="23" fillId="0" borderId="10" xfId="0" applyNumberFormat="1" applyFont="1" applyFill="1" applyBorder="1"/>
    <xf numFmtId="40" fontId="22" fillId="0" borderId="0" xfId="2" applyNumberFormat="1" applyFont="1" applyBorder="1"/>
    <xf numFmtId="40" fontId="10" fillId="0" borderId="12" xfId="0" applyNumberFormat="1" applyFont="1" applyBorder="1"/>
    <xf numFmtId="0" fontId="10" fillId="0" borderId="0" xfId="0" applyFont="1"/>
    <xf numFmtId="40" fontId="10" fillId="0" borderId="0" xfId="0" applyNumberFormat="1" applyFont="1"/>
    <xf numFmtId="0" fontId="10" fillId="0" borderId="3" xfId="0" applyFont="1" applyBorder="1"/>
    <xf numFmtId="40" fontId="32" fillId="0" borderId="2" xfId="0" applyNumberFormat="1" applyFont="1" applyBorder="1" applyProtection="1"/>
    <xf numFmtId="0" fontId="32" fillId="0" borderId="6" xfId="0" applyFont="1" applyBorder="1" applyProtection="1"/>
    <xf numFmtId="40" fontId="32" fillId="0" borderId="6" xfId="0" applyNumberFormat="1" applyFont="1" applyFill="1" applyBorder="1" applyProtection="1"/>
    <xf numFmtId="40" fontId="10" fillId="0" borderId="4" xfId="2" applyNumberFormat="1" applyFont="1" applyBorder="1" applyProtection="1">
      <protection locked="0"/>
    </xf>
    <xf numFmtId="40" fontId="10" fillId="0" borderId="10" xfId="2" applyNumberFormat="1" applyFont="1" applyBorder="1" applyProtection="1">
      <protection locked="0"/>
    </xf>
    <xf numFmtId="40" fontId="10" fillId="0" borderId="1" xfId="2" applyNumberFormat="1" applyFont="1" applyBorder="1" applyProtection="1">
      <protection locked="0"/>
    </xf>
    <xf numFmtId="0" fontId="21" fillId="3" borderId="10" xfId="2" applyNumberFormat="1" applyFont="1" applyFill="1" applyBorder="1" applyAlignment="1">
      <alignment horizontal="center" wrapText="1"/>
    </xf>
    <xf numFmtId="0" fontId="21" fillId="3" borderId="10" xfId="2" applyNumberFormat="1" applyFont="1" applyFill="1" applyBorder="1" applyAlignment="1">
      <alignment horizontal="center"/>
    </xf>
    <xf numFmtId="0" fontId="10" fillId="3" borderId="10" xfId="2" applyNumberFormat="1" applyFont="1" applyFill="1" applyBorder="1" applyAlignment="1">
      <alignment horizontal="center" wrapText="1"/>
    </xf>
    <xf numFmtId="0" fontId="10" fillId="3" borderId="6" xfId="0" applyFont="1" applyFill="1" applyBorder="1"/>
    <xf numFmtId="44" fontId="23" fillId="0" borderId="10" xfId="2" applyFont="1" applyBorder="1" applyAlignment="1">
      <alignment horizontal="center"/>
    </xf>
    <xf numFmtId="44" fontId="10" fillId="0" borderId="10" xfId="2" applyFont="1" applyBorder="1" applyAlignment="1">
      <alignment horizontal="center"/>
    </xf>
    <xf numFmtId="44" fontId="21" fillId="3" borderId="10" xfId="0" applyNumberFormat="1" applyFont="1" applyFill="1" applyBorder="1" applyAlignment="1">
      <alignment horizontal="center" wrapText="1"/>
    </xf>
    <xf numFmtId="44" fontId="21" fillId="3" borderId="10" xfId="0" applyNumberFormat="1" applyFont="1" applyFill="1" applyBorder="1" applyAlignment="1">
      <alignment horizontal="center"/>
    </xf>
    <xf numFmtId="0" fontId="10" fillId="3" borderId="10" xfId="0" applyFont="1" applyFill="1" applyBorder="1" applyAlignment="1">
      <alignment horizontal="center" wrapText="1"/>
    </xf>
    <xf numFmtId="44" fontId="10" fillId="3" borderId="10" xfId="0" applyNumberFormat="1" applyFont="1" applyFill="1" applyBorder="1" applyAlignment="1">
      <alignment horizontal="center" wrapText="1"/>
    </xf>
    <xf numFmtId="44" fontId="23" fillId="0" borderId="0" xfId="2" applyFont="1" applyBorder="1" applyAlignment="1">
      <alignment horizontal="left"/>
    </xf>
    <xf numFmtId="44" fontId="22" fillId="0" borderId="4" xfId="2" applyFont="1" applyBorder="1" applyProtection="1">
      <protection locked="0"/>
    </xf>
    <xf numFmtId="0" fontId="2" fillId="0" borderId="0" xfId="0" applyFont="1" applyBorder="1" applyAlignment="1" applyProtection="1">
      <alignment horizontal="right"/>
    </xf>
    <xf numFmtId="0" fontId="21" fillId="0" borderId="0" xfId="0" applyFont="1" applyAlignment="1" applyProtection="1">
      <alignment horizontal="right"/>
    </xf>
    <xf numFmtId="15" fontId="8" fillId="0" borderId="0" xfId="0" applyNumberFormat="1" applyFont="1" applyProtection="1"/>
    <xf numFmtId="0" fontId="2" fillId="0" borderId="0" xfId="0" applyFont="1" applyBorder="1" applyAlignment="1" applyProtection="1">
      <alignment horizontal="left"/>
    </xf>
    <xf numFmtId="0" fontId="0" fillId="0" borderId="0" xfId="0" applyBorder="1" applyAlignment="1" applyProtection="1">
      <alignment horizontal="center"/>
    </xf>
    <xf numFmtId="44" fontId="10" fillId="0" borderId="10" xfId="2" applyFont="1" applyBorder="1" applyAlignment="1">
      <alignment horizontal="left"/>
    </xf>
    <xf numFmtId="44" fontId="21" fillId="3" borderId="10" xfId="2" applyFont="1" applyFill="1" applyBorder="1" applyAlignment="1">
      <alignment horizontal="center"/>
    </xf>
    <xf numFmtId="44" fontId="10" fillId="3" borderId="10" xfId="2" applyFont="1" applyFill="1" applyBorder="1" applyAlignment="1">
      <alignment horizontal="center"/>
    </xf>
    <xf numFmtId="0" fontId="25" fillId="0" borderId="0" xfId="0" applyFont="1" applyAlignment="1">
      <alignment horizontal="center" vertical="top" wrapText="1"/>
    </xf>
    <xf numFmtId="0" fontId="1" fillId="0" borderId="0" xfId="0" applyFont="1" applyAlignment="1">
      <alignment horizontal="center" vertical="top" wrapText="1"/>
    </xf>
    <xf numFmtId="0" fontId="2" fillId="0" borderId="2" xfId="0" applyFont="1" applyBorder="1" applyAlignment="1" applyProtection="1">
      <alignment horizontal="left"/>
      <protection locked="0"/>
    </xf>
    <xf numFmtId="0" fontId="2" fillId="0" borderId="2" xfId="0" applyFont="1" applyBorder="1" applyAlignment="1" applyProtection="1">
      <alignment horizontal="left"/>
    </xf>
    <xf numFmtId="0" fontId="14" fillId="0" borderId="0" xfId="3" applyFont="1" applyAlignment="1" applyProtection="1">
      <alignment horizontal="left" vertical="top" wrapText="1"/>
    </xf>
    <xf numFmtId="0" fontId="24" fillId="0" borderId="2" xfId="3" applyFont="1" applyBorder="1" applyAlignment="1" applyProtection="1">
      <alignment horizontal="left"/>
      <protection locked="0"/>
    </xf>
    <xf numFmtId="4" fontId="11" fillId="0" borderId="0" xfId="3" applyNumberFormat="1" applyFont="1" applyAlignment="1" applyProtection="1">
      <alignment horizontal="right"/>
    </xf>
    <xf numFmtId="4" fontId="13" fillId="0" borderId="0" xfId="3" applyNumberFormat="1" applyFont="1" applyAlignment="1" applyProtection="1">
      <alignment horizontal="right"/>
    </xf>
    <xf numFmtId="0" fontId="11" fillId="0" borderId="0" xfId="3" applyFont="1" applyAlignment="1" applyProtection="1">
      <alignment horizontal="right"/>
    </xf>
    <xf numFmtId="49" fontId="13" fillId="0" borderId="0" xfId="3" applyNumberFormat="1" applyFont="1" applyBorder="1" applyAlignment="1" applyProtection="1">
      <alignment horizontal="center"/>
    </xf>
    <xf numFmtId="49" fontId="12" fillId="0" borderId="2" xfId="3" applyNumberFormat="1" applyFont="1" applyBorder="1" applyAlignment="1" applyProtection="1">
      <alignment horizontal="left"/>
    </xf>
    <xf numFmtId="49" fontId="13" fillId="0" borderId="0" xfId="3" applyNumberFormat="1" applyFont="1" applyBorder="1" applyAlignment="1" applyProtection="1">
      <alignment horizontal="center"/>
      <protection locked="0"/>
    </xf>
    <xf numFmtId="164" fontId="0" fillId="0" borderId="0" xfId="0" applyNumberFormat="1" applyBorder="1" applyProtection="1"/>
    <xf numFmtId="0" fontId="0" fillId="0" borderId="0" xfId="0" applyFill="1" applyProtection="1"/>
    <xf numFmtId="44" fontId="0" fillId="0" borderId="0" xfId="2" applyFont="1" applyBorder="1" applyProtection="1"/>
    <xf numFmtId="0" fontId="0" fillId="0" borderId="0" xfId="0" applyBorder="1" applyProtection="1"/>
    <xf numFmtId="0" fontId="1" fillId="0" borderId="0" xfId="0" applyFont="1" applyProtection="1"/>
    <xf numFmtId="0" fontId="31" fillId="0" borderId="0" xfId="0" applyFont="1" applyProtection="1"/>
    <xf numFmtId="40" fontId="2" fillId="0" borderId="0" xfId="0" applyNumberFormat="1" applyFont="1" applyFill="1" applyProtection="1"/>
    <xf numFmtId="0" fontId="10" fillId="0" borderId="13" xfId="0" applyFont="1" applyBorder="1" applyAlignment="1" applyProtection="1">
      <alignment horizontal="right"/>
    </xf>
    <xf numFmtId="0" fontId="33" fillId="0" borderId="0" xfId="0" applyFont="1" applyAlignment="1" applyProtection="1">
      <alignment horizontal="center" vertical="center" wrapText="1"/>
    </xf>
    <xf numFmtId="0" fontId="10" fillId="0" borderId="10" xfId="0" applyFont="1" applyBorder="1" applyAlignment="1" applyProtection="1">
      <alignment horizontal="right" vertical="center" wrapText="1"/>
    </xf>
    <xf numFmtId="0" fontId="23" fillId="0" borderId="0" xfId="0" applyFont="1" applyAlignment="1" applyProtection="1">
      <alignment horizontal="right"/>
    </xf>
    <xf numFmtId="0" fontId="32" fillId="0" borderId="0" xfId="0" applyFont="1" applyProtection="1"/>
    <xf numFmtId="0" fontId="23" fillId="0" borderId="0" xfId="0" applyFont="1" applyFill="1" applyBorder="1" applyAlignment="1" applyProtection="1">
      <alignment horizontal="right"/>
    </xf>
    <xf numFmtId="0" fontId="32" fillId="0" borderId="3" xfId="0" applyFont="1" applyBorder="1" applyProtection="1"/>
    <xf numFmtId="0" fontId="23" fillId="0" borderId="0" xfId="0" applyFont="1" applyProtection="1"/>
    <xf numFmtId="0" fontId="10" fillId="0" borderId="10" xfId="0" applyFont="1" applyBorder="1" applyAlignment="1" applyProtection="1">
      <alignment horizontal="right"/>
    </xf>
  </cellXfs>
  <cellStyles count="4">
    <cellStyle name="Comma" xfId="1" builtinId="3"/>
    <cellStyle name="Currency" xfId="2" builtinId="4"/>
    <cellStyle name="Normal" xfId="0" builtinId="0"/>
    <cellStyle name="Normal 2" xfId="3"/>
  </cellStyles>
  <dxfs count="161">
    <dxf>
      <font>
        <b/>
        <i val="0"/>
        <strike val="0"/>
        <condense val="0"/>
        <extend val="0"/>
        <outline val="0"/>
        <shadow val="0"/>
        <u val="none"/>
        <vertAlign val="baseline"/>
        <sz val="10"/>
        <color theme="1"/>
        <name val="Franklin Gothic Book"/>
        <scheme val="none"/>
      </font>
      <numFmt numFmtId="6" formatCode="#,##0_);[Red]\(#,##0\)"/>
      <border diagonalUp="0" diagonalDown="0" outline="0">
        <left style="thin">
          <color auto="1"/>
        </left>
        <right style="thin">
          <color auto="1"/>
        </right>
        <top/>
        <bottom/>
      </border>
      <protection locked="1" hidden="0"/>
    </dxf>
    <dxf>
      <font>
        <b/>
        <i val="0"/>
        <strike val="0"/>
        <condense val="0"/>
        <extend val="0"/>
        <outline val="0"/>
        <shadow val="0"/>
        <u val="none"/>
        <vertAlign val="baseline"/>
        <sz val="10"/>
        <color theme="1"/>
        <name val="Franklin Gothic Book"/>
        <scheme val="none"/>
      </font>
      <numFmt numFmtId="6" formatCode="#,##0_);[Red]\(#,##0\)"/>
      <border diagonalUp="0" diagonalDown="0" outline="0">
        <left style="thin">
          <color auto="1"/>
        </left>
        <right style="thin">
          <color auto="1"/>
        </right>
        <top/>
        <bottom/>
      </border>
      <protection locked="1" hidden="0"/>
    </dxf>
    <dxf>
      <font>
        <b/>
        <i val="0"/>
        <strike val="0"/>
        <condense val="0"/>
        <extend val="0"/>
        <outline val="0"/>
        <shadow val="0"/>
        <u val="none"/>
        <vertAlign val="baseline"/>
        <sz val="10"/>
        <color theme="1"/>
        <name val="Franklin Gothic Book"/>
        <scheme val="none"/>
      </font>
      <numFmt numFmtId="14" formatCode="0.00%"/>
      <border diagonalUp="0" diagonalDown="0" outline="0">
        <left style="thin">
          <color auto="1"/>
        </left>
        <right style="thin">
          <color auto="1"/>
        </right>
        <top style="thin">
          <color auto="1"/>
        </top>
        <bottom style="thin">
          <color auto="1"/>
        </bottom>
      </border>
      <protection locked="1" hidden="0"/>
    </dxf>
    <dxf>
      <font>
        <b/>
        <i val="0"/>
        <strike val="0"/>
        <condense val="0"/>
        <extend val="0"/>
        <outline val="0"/>
        <shadow val="0"/>
        <u val="none"/>
        <vertAlign val="baseline"/>
        <sz val="10"/>
        <color theme="1"/>
        <name val="Franklin Gothic Book"/>
        <scheme val="none"/>
      </font>
      <numFmt numFmtId="6" formatCode="#,##0_);[Red]\(#,##0\)"/>
      <border diagonalUp="0" diagonalDown="0" outline="0">
        <left style="thin">
          <color auto="1"/>
        </left>
        <right style="thin">
          <color auto="1"/>
        </right>
        <top/>
        <bottom/>
      </border>
      <protection locked="1" hidden="0"/>
    </dxf>
    <dxf>
      <font>
        <b/>
        <i val="0"/>
        <strike val="0"/>
        <condense val="0"/>
        <extend val="0"/>
        <outline val="0"/>
        <shadow val="0"/>
        <u val="none"/>
        <vertAlign val="baseline"/>
        <sz val="10"/>
        <color theme="1"/>
        <name val="Franklin Gothic Book"/>
        <scheme val="none"/>
      </font>
      <numFmt numFmtId="6" formatCode="#,##0_);[Red]\(#,##0\)"/>
      <border diagonalUp="0" diagonalDown="0" outline="0">
        <left style="thin">
          <color auto="1"/>
        </left>
        <right style="thin">
          <color auto="1"/>
        </right>
        <top/>
        <bottom/>
      </border>
      <protection locked="1" hidden="0"/>
    </dxf>
    <dxf>
      <font>
        <b/>
        <i val="0"/>
        <strike val="0"/>
        <condense val="0"/>
        <extend val="0"/>
        <outline val="0"/>
        <shadow val="0"/>
        <u val="none"/>
        <vertAlign val="baseline"/>
        <sz val="10"/>
        <color theme="1"/>
        <name val="Franklin Gothic Book"/>
        <scheme val="none"/>
      </font>
      <numFmt numFmtId="6" formatCode="#,##0_);[Red]\(#,##0\)"/>
      <border diagonalUp="0" diagonalDown="0" outline="0">
        <left style="thin">
          <color auto="1"/>
        </left>
        <right style="thin">
          <color auto="1"/>
        </right>
        <top/>
        <bottom/>
      </border>
      <protection locked="1" hidden="1"/>
    </dxf>
    <dxf>
      <font>
        <b/>
        <i val="0"/>
        <strike val="0"/>
        <condense val="0"/>
        <extend val="0"/>
        <outline val="0"/>
        <shadow val="0"/>
        <u val="none"/>
        <vertAlign val="baseline"/>
        <sz val="10"/>
        <color theme="1"/>
        <name val="Franklin Gothic Book"/>
        <scheme val="none"/>
      </font>
      <numFmt numFmtId="6" formatCode="#,##0_);[Red]\(#,##0\)"/>
      <border diagonalUp="0" diagonalDown="0" outline="0">
        <left style="thin">
          <color auto="1"/>
        </left>
        <right style="thin">
          <color auto="1"/>
        </right>
        <top/>
        <bottom/>
      </border>
      <protection locked="1" hidden="1"/>
    </dxf>
    <dxf>
      <font>
        <b/>
        <i val="0"/>
        <strike val="0"/>
        <condense val="0"/>
        <extend val="0"/>
        <outline val="0"/>
        <shadow val="0"/>
        <u val="none"/>
        <vertAlign val="baseline"/>
        <sz val="10"/>
        <color theme="1"/>
        <name val="Franklin Gothic Book"/>
        <scheme val="none"/>
      </font>
      <numFmt numFmtId="6" formatCode="#,##0_);[Red]\(#,##0\)"/>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Franklin Gothic Book"/>
        <scheme val="none"/>
      </font>
      <alignment horizontal="righ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Franklin Gothic Book"/>
        <scheme val="none"/>
      </font>
      <alignment horizontal="center" vertical="bottom"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theme="1"/>
        <name val="Franklin Gothic Book"/>
        <scheme val="none"/>
      </font>
      <alignment horizontal="center" vertical="bottom"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theme="1"/>
        <name val="Franklin Gothic Book"/>
        <scheme val="none"/>
      </font>
      <border diagonalUp="0" diagonalDown="0" outline="0">
        <left/>
        <right/>
        <top/>
        <bottom/>
      </border>
      <protection locked="0" hidden="0"/>
    </dxf>
    <dxf>
      <font>
        <b/>
        <i val="0"/>
        <strike val="0"/>
        <condense val="0"/>
        <extend val="0"/>
        <outline val="0"/>
        <shadow val="0"/>
        <u val="none"/>
        <vertAlign val="baseline"/>
        <sz val="10"/>
        <color theme="1"/>
        <name val="Arial"/>
        <scheme val="none"/>
      </font>
      <alignment horizontal="right" vertical="bottom" textRotation="0" wrapText="0" indent="0" justifyLastLine="0" shrinkToFit="0" readingOrder="0"/>
      <border diagonalUp="0" diagonalDown="0">
        <left/>
        <right style="thin">
          <color auto="1"/>
        </right>
        <top/>
        <bottom/>
      </border>
      <protection locked="1" hidden="0"/>
    </dxf>
    <dxf>
      <font>
        <b/>
        <i val="0"/>
        <strike val="0"/>
        <condense val="0"/>
        <extend val="0"/>
        <outline val="0"/>
        <shadow val="0"/>
        <u val="none"/>
        <vertAlign val="baseline"/>
        <sz val="10"/>
        <color theme="1"/>
        <name val="Franklin Gothic Book"/>
        <scheme val="none"/>
      </font>
      <numFmt numFmtId="6" formatCode="#,##0_);[Red]\(#,##0\)"/>
      <border diagonalUp="0" diagonalDown="0">
        <left style="thin">
          <color auto="1"/>
        </left>
        <right style="thin">
          <color auto="1"/>
        </right>
        <top/>
        <bottom/>
      </border>
      <protection locked="1" hidden="1"/>
    </dxf>
    <dxf>
      <font>
        <b/>
        <strike val="0"/>
        <outline val="0"/>
        <shadow val="0"/>
        <u val="none"/>
        <vertAlign val="baseline"/>
        <sz val="10"/>
        <color theme="1"/>
        <name val="Franklin Gothic Book"/>
        <scheme val="none"/>
      </font>
      <numFmt numFmtId="6" formatCode="#,##0_);[Red]\(#,##0\)"/>
      <protection locked="1"/>
    </dxf>
    <dxf>
      <font>
        <b/>
        <i val="0"/>
        <strike val="0"/>
        <condense val="0"/>
        <extend val="0"/>
        <outline val="0"/>
        <shadow val="0"/>
        <u val="none"/>
        <vertAlign val="baseline"/>
        <sz val="10"/>
        <color theme="1"/>
        <name val="Franklin Gothic Book"/>
        <scheme val="none"/>
      </font>
      <numFmt numFmtId="6" formatCode="#,##0_);[Red]\(#,##0\)"/>
      <border diagonalUp="0" diagonalDown="0">
        <left style="thin">
          <color auto="1"/>
        </left>
        <right style="thin">
          <color auto="1"/>
        </right>
        <top/>
        <bottom/>
      </border>
      <protection locked="1" hidden="1"/>
    </dxf>
    <dxf>
      <font>
        <b val="0"/>
        <strike val="0"/>
        <outline val="0"/>
        <shadow val="0"/>
        <u val="none"/>
        <vertAlign val="baseline"/>
        <sz val="10"/>
        <color theme="1"/>
        <name val="Franklin Gothic Book"/>
        <scheme val="none"/>
      </font>
      <numFmt numFmtId="6" formatCode="#,##0_);[Red]\(#,##0\)"/>
      <protection locked="1"/>
    </dxf>
    <dxf>
      <font>
        <b val="0"/>
        <i val="0"/>
        <strike val="0"/>
        <condense val="0"/>
        <extend val="0"/>
        <outline val="0"/>
        <shadow val="0"/>
        <u val="none"/>
        <vertAlign val="baseline"/>
        <sz val="10"/>
        <color theme="1"/>
        <name val="Franklin Gothic Book"/>
        <scheme val="none"/>
      </font>
      <numFmt numFmtId="14" formatCode="0.00%"/>
      <border diagonalUp="0" diagonalDown="0">
        <left style="thin">
          <color auto="1"/>
        </left>
        <right style="thin">
          <color auto="1"/>
        </right>
        <top style="thin">
          <color auto="1"/>
        </top>
        <bottom style="thin">
          <color auto="1"/>
        </bottom>
      </border>
      <protection locked="1" hidden="1"/>
    </dxf>
    <dxf>
      <font>
        <strike val="0"/>
        <outline val="0"/>
        <shadow val="0"/>
        <u val="none"/>
        <vertAlign val="baseline"/>
        <sz val="10"/>
        <color theme="1"/>
        <name val="Franklin Gothic Book"/>
        <scheme val="none"/>
      </font>
      <numFmt numFmtId="14" formatCode="0.00%"/>
      <border diagonalUp="0" diagonalDown="0">
        <left/>
        <right/>
        <top style="thin">
          <color auto="1"/>
        </top>
        <bottom style="thin">
          <color auto="1"/>
        </bottom>
      </border>
      <protection locked="1" hidden="1"/>
    </dxf>
    <dxf>
      <font>
        <b/>
        <i val="0"/>
        <strike val="0"/>
        <condense val="0"/>
        <extend val="0"/>
        <outline val="0"/>
        <shadow val="0"/>
        <u val="none"/>
        <vertAlign val="baseline"/>
        <sz val="10"/>
        <color theme="1"/>
        <name val="Franklin Gothic Book"/>
        <scheme val="none"/>
      </font>
      <numFmt numFmtId="6" formatCode="#,##0_);[Red]\(#,##0\)"/>
      <border diagonalUp="0" diagonalDown="0">
        <left style="thin">
          <color auto="1"/>
        </left>
        <right style="thin">
          <color auto="1"/>
        </right>
        <top/>
        <bottom/>
      </border>
      <protection locked="1" hidden="1"/>
    </dxf>
    <dxf>
      <font>
        <b/>
        <i val="0"/>
        <strike val="0"/>
        <condense val="0"/>
        <extend val="0"/>
        <outline val="0"/>
        <shadow val="0"/>
        <u val="none"/>
        <vertAlign val="baseline"/>
        <sz val="10"/>
        <color theme="1"/>
        <name val="Franklin Gothic Book"/>
        <scheme val="none"/>
      </font>
      <numFmt numFmtId="6" formatCode="#,##0_);[Red]\(#,##0\)"/>
      <border diagonalUp="0" diagonalDown="0">
        <left style="thin">
          <color auto="1"/>
        </left>
        <right style="thin">
          <color auto="1"/>
        </right>
        <top style="thin">
          <color auto="1"/>
        </top>
        <bottom style="thin">
          <color auto="1"/>
        </bottom>
      </border>
      <protection locked="1" hidden="1"/>
    </dxf>
    <dxf>
      <font>
        <b/>
        <i val="0"/>
        <strike val="0"/>
        <condense val="0"/>
        <extend val="0"/>
        <outline val="0"/>
        <shadow val="0"/>
        <u val="none"/>
        <vertAlign val="baseline"/>
        <sz val="10"/>
        <color theme="1"/>
        <name val="Franklin Gothic Book"/>
        <scheme val="none"/>
      </font>
      <numFmt numFmtId="6" formatCode="#,##0_);[Red]\(#,##0\)"/>
      <border diagonalUp="0" diagonalDown="0">
        <left style="thin">
          <color auto="1"/>
        </left>
        <right style="thin">
          <color auto="1"/>
        </right>
        <top/>
        <bottom/>
      </border>
      <protection locked="1" hidden="1"/>
    </dxf>
    <dxf>
      <font>
        <b val="0"/>
        <i val="0"/>
        <strike val="0"/>
        <condense val="0"/>
        <extend val="0"/>
        <outline val="0"/>
        <shadow val="0"/>
        <u val="none"/>
        <vertAlign val="baseline"/>
        <sz val="10"/>
        <color theme="1"/>
        <name val="Franklin Gothic Book"/>
        <scheme val="none"/>
      </font>
      <numFmt numFmtId="6" formatCode="#,##0_);[Red]\(#,##0\)"/>
      <border diagonalUp="0" diagonalDown="0">
        <left/>
        <right/>
        <top style="thin">
          <color auto="1"/>
        </top>
        <bottom style="thin">
          <color auto="1"/>
        </bottom>
      </border>
      <protection locked="1" hidden="0"/>
    </dxf>
    <dxf>
      <font>
        <b/>
        <i val="0"/>
        <strike val="0"/>
        <condense val="0"/>
        <extend val="0"/>
        <outline val="0"/>
        <shadow val="0"/>
        <u val="none"/>
        <vertAlign val="baseline"/>
        <sz val="10"/>
        <color theme="1"/>
        <name val="Franklin Gothic Book"/>
        <scheme val="none"/>
      </font>
      <numFmt numFmtId="6" formatCode="#,##0_);[Red]\(#,##0\)"/>
      <border diagonalUp="0" diagonalDown="0">
        <left style="thin">
          <color auto="1"/>
        </left>
        <right style="thin">
          <color auto="1"/>
        </right>
        <top/>
        <bottom/>
      </border>
      <protection locked="1" hidden="1"/>
    </dxf>
    <dxf>
      <font>
        <b val="0"/>
        <i val="0"/>
        <strike val="0"/>
        <condense val="0"/>
        <extend val="0"/>
        <outline val="0"/>
        <shadow val="0"/>
        <u val="none"/>
        <vertAlign val="baseline"/>
        <sz val="10"/>
        <color theme="1"/>
        <name val="Franklin Gothic Book"/>
        <scheme val="none"/>
      </font>
      <numFmt numFmtId="6" formatCode="#,##0_);[Red]\(#,##0\)"/>
      <border diagonalUp="0" diagonalDown="0">
        <left style="thin">
          <color auto="1"/>
        </left>
        <right style="thin">
          <color auto="1"/>
        </right>
        <top style="thin">
          <color auto="1"/>
        </top>
        <bottom style="thin">
          <color auto="1"/>
        </bottom>
      </border>
      <protection locked="1" hidden="1"/>
    </dxf>
    <dxf>
      <font>
        <b/>
        <i val="0"/>
        <strike val="0"/>
        <condense val="0"/>
        <extend val="0"/>
        <outline val="0"/>
        <shadow val="0"/>
        <u val="none"/>
        <vertAlign val="baseline"/>
        <sz val="10"/>
        <color theme="1"/>
        <name val="Franklin Gothic Book"/>
        <scheme val="none"/>
      </font>
      <numFmt numFmtId="6" formatCode="#,##0_);[Red]\(#,##0\)"/>
      <border diagonalUp="0" diagonalDown="0">
        <left style="thin">
          <color auto="1"/>
        </left>
        <right style="thin">
          <color auto="1"/>
        </right>
        <top/>
        <bottom/>
      </border>
      <protection locked="1" hidden="1"/>
    </dxf>
    <dxf>
      <font>
        <b val="0"/>
        <i val="0"/>
        <strike val="0"/>
        <condense val="0"/>
        <extend val="0"/>
        <outline val="0"/>
        <shadow val="0"/>
        <u val="none"/>
        <vertAlign val="baseline"/>
        <sz val="10"/>
        <color theme="1"/>
        <name val="Franklin Gothic Book"/>
        <scheme val="none"/>
      </font>
      <numFmt numFmtId="6" formatCode="#,##0_);[Red]\(#,##0\)"/>
      <border diagonalUp="0" diagonalDown="0">
        <left style="thin">
          <color auto="1"/>
        </left>
        <right/>
        <top style="thin">
          <color auto="1"/>
        </top>
        <bottom style="thin">
          <color auto="1"/>
        </bottom>
      </border>
      <protection locked="1" hidden="1"/>
    </dxf>
    <dxf>
      <font>
        <b/>
        <i val="0"/>
        <strike val="0"/>
        <condense val="0"/>
        <extend val="0"/>
        <outline val="0"/>
        <shadow val="0"/>
        <u val="none"/>
        <vertAlign val="baseline"/>
        <sz val="10"/>
        <color theme="1"/>
        <name val="Franklin Gothic Book"/>
        <scheme val="none"/>
      </font>
      <numFmt numFmtId="6" formatCode="#,##0_);[Red]\(#,##0\)"/>
      <alignment horizontal="right" vertical="bottom" textRotation="0" wrapText="0" indent="0" justifyLastLine="0" shrinkToFit="0" readingOrder="0"/>
      <protection locked="1" hidden="1"/>
    </dxf>
    <dxf>
      <font>
        <strike val="0"/>
        <outline val="0"/>
        <shadow val="0"/>
        <u val="none"/>
        <vertAlign val="baseline"/>
        <sz val="10"/>
        <color theme="1"/>
        <name val="Franklin Gothic Book"/>
        <scheme val="none"/>
      </font>
      <protection locked="1" hidden="0"/>
    </dxf>
    <dxf>
      <font>
        <b val="0"/>
        <i val="0"/>
        <strike val="0"/>
        <condense val="0"/>
        <extend val="0"/>
        <outline val="0"/>
        <shadow val="0"/>
        <u val="none"/>
        <vertAlign val="baseline"/>
        <sz val="10"/>
        <color theme="1"/>
        <name val="Franklin Gothic Book"/>
        <scheme val="none"/>
      </font>
      <alignment horizontal="right" vertical="bottom" textRotation="0" wrapText="0" indent="0" justifyLastLine="0" shrinkToFit="0" readingOrder="0"/>
      <protection locked="1" hidden="0"/>
    </dxf>
    <dxf>
      <font>
        <b/>
        <i val="0"/>
        <strike val="0"/>
        <condense val="0"/>
        <extend val="0"/>
        <outline val="0"/>
        <shadow val="0"/>
        <u val="none"/>
        <vertAlign val="baseline"/>
        <sz val="10"/>
        <color theme="1"/>
        <name val="Franklin Gothic Book"/>
        <scheme val="none"/>
      </font>
      <numFmt numFmtId="6" formatCode="#,##0_);[Red]\(#,##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theme="1"/>
        <name val="Franklin Gothic Book"/>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theme="1"/>
        <name val="Franklin Gothic Book"/>
        <scheme val="none"/>
      </font>
      <numFmt numFmtId="6" formatCode="#,##0_);[Red]\(#,##0\)"/>
      <alignment horizontal="center" vertical="bottom" textRotation="0" wrapText="0" indent="0" justifyLastLine="0" shrinkToFit="0" readingOrder="0"/>
      <border diagonalUp="0" diagonalDown="0">
        <left style="thin">
          <color auto="1"/>
        </left>
        <right/>
        <top style="thin">
          <color auto="1"/>
        </top>
        <bottom style="thin">
          <color auto="1"/>
        </bottom>
      </border>
      <protection locked="1" hidden="0"/>
    </dxf>
    <dxf>
      <font>
        <b val="0"/>
        <i val="0"/>
        <strike val="0"/>
        <condense val="0"/>
        <extend val="0"/>
        <outline val="0"/>
        <shadow val="0"/>
        <u val="none"/>
        <vertAlign val="baseline"/>
        <sz val="10"/>
        <color theme="1"/>
        <name val="Franklin Gothic Book"/>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theme="1"/>
        <name val="Franklin Gothic Book"/>
        <scheme val="none"/>
      </font>
      <numFmt numFmtId="6" formatCode="#,##0_);[Red]\(#,##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protection locked="1" hidden="0"/>
    </dxf>
    <dxf>
      <font>
        <b/>
        <i val="0"/>
        <strike val="0"/>
        <condense val="0"/>
        <extend val="0"/>
        <outline val="0"/>
        <shadow val="0"/>
        <u val="none"/>
        <vertAlign val="baseline"/>
        <sz val="10"/>
        <color theme="1"/>
        <name val="Franklin Gothic Book"/>
        <scheme val="none"/>
      </font>
      <protection locked="1" hidden="0"/>
    </dxf>
    <dxf>
      <font>
        <b val="0"/>
        <i val="0"/>
        <strike val="0"/>
        <condense val="0"/>
        <extend val="0"/>
        <outline val="0"/>
        <shadow val="0"/>
        <u val="none"/>
        <vertAlign val="baseline"/>
        <sz val="12"/>
        <color theme="1"/>
        <name val="Franklin Gothic Book"/>
        <scheme val="none"/>
      </font>
      <numFmt numFmtId="30" formatCode="@"/>
      <border diagonalUp="0" diagonalDown="0">
        <left/>
        <right style="thin">
          <color auto="1"/>
        </right>
        <top style="thin">
          <color auto="1"/>
        </top>
        <bottom style="thin">
          <color auto="1"/>
        </bottom>
        <vertical/>
        <horizontal/>
      </border>
      <protection locked="1" hidden="0"/>
    </dxf>
    <dxf>
      <protection locked="1"/>
    </dxf>
    <dxf>
      <border diagonalUp="0" diagonalDown="0">
        <left style="thin">
          <color auto="1"/>
        </left>
        <right style="thin">
          <color auto="1"/>
        </right>
        <top style="thin">
          <color auto="1"/>
        </top>
        <bottom style="thin">
          <color auto="1"/>
        </bottom>
      </border>
    </dxf>
    <dxf>
      <protection locked="1"/>
    </dxf>
    <dxf>
      <protection locked="1"/>
    </dxf>
    <dxf>
      <font>
        <b val="0"/>
        <i val="0"/>
        <strike val="0"/>
        <outline val="0"/>
        <shadow val="0"/>
        <u val="none"/>
        <vertAlign val="baseline"/>
        <sz val="10"/>
        <color theme="1"/>
        <name val="Franklin Gothic Book"/>
        <scheme val="none"/>
      </font>
      <numFmt numFmtId="6" formatCode="#,##0_);[Red]\(#,##0\)"/>
      <protection locked="1" hidden="0"/>
    </dxf>
    <dxf>
      <font>
        <b val="0"/>
        <i val="0"/>
        <strike val="0"/>
        <outline val="0"/>
        <shadow val="0"/>
        <u val="none"/>
        <vertAlign val="baseline"/>
        <sz val="10"/>
        <color theme="1"/>
        <name val="Franklin Gothic Book"/>
        <scheme val="none"/>
      </font>
      <numFmt numFmtId="6" formatCode="#,##0_);[Red]\(#,##0\)"/>
      <protection locked="1" hidden="0"/>
    </dxf>
    <dxf>
      <font>
        <b val="0"/>
        <i val="0"/>
        <strike val="0"/>
        <outline val="0"/>
        <shadow val="0"/>
        <u val="none"/>
        <vertAlign val="baseline"/>
        <sz val="10"/>
        <color theme="1"/>
        <name val="Franklin Gothic Book"/>
        <scheme val="none"/>
      </font>
      <numFmt numFmtId="14" formatCode="0.00%"/>
      <border diagonalUp="0" diagonalDown="0">
        <left/>
        <right/>
        <top style="thin">
          <color auto="1"/>
        </top>
        <bottom style="thin">
          <color auto="1"/>
        </bottom>
      </border>
      <protection locked="1" hidden="0"/>
    </dxf>
    <dxf>
      <font>
        <b val="0"/>
        <i val="0"/>
        <strike val="0"/>
        <condense val="0"/>
        <extend val="0"/>
        <outline val="0"/>
        <shadow val="0"/>
        <u val="none"/>
        <vertAlign val="baseline"/>
        <sz val="10"/>
        <color theme="1"/>
        <name val="Franklin Gothic Book"/>
        <scheme val="none"/>
      </font>
      <numFmt numFmtId="6" formatCode="#,##0_);[Red]\(#,##0\)"/>
      <border diagonalUp="0" diagonalDown="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theme="1"/>
        <name val="Franklin Gothic Book"/>
        <scheme val="none"/>
      </font>
      <numFmt numFmtId="6" formatCode="#,##0_);[Red]\(#,##0\)"/>
      <border diagonalUp="0" diagonalDown="0">
        <left/>
        <right/>
        <top style="thin">
          <color auto="1"/>
        </top>
        <bottom style="thin">
          <color auto="1"/>
        </bottom>
      </border>
      <protection locked="0" hidden="0"/>
    </dxf>
    <dxf>
      <font>
        <b val="0"/>
        <i val="0"/>
        <strike val="0"/>
        <condense val="0"/>
        <extend val="0"/>
        <outline val="0"/>
        <shadow val="0"/>
        <u val="none"/>
        <vertAlign val="baseline"/>
        <sz val="10"/>
        <color theme="1"/>
        <name val="Franklin Gothic Book"/>
        <scheme val="none"/>
      </font>
      <numFmt numFmtId="6" formatCode="#,##0_);[Red]\(#,##0\)"/>
      <border diagonalUp="0" diagonalDown="0">
        <left style="thin">
          <color auto="1"/>
        </left>
        <right style="thin">
          <color auto="1"/>
        </right>
        <top style="thin">
          <color auto="1"/>
        </top>
        <bottom style="thin">
          <color auto="1"/>
        </bottom>
      </border>
      <protection locked="1" hidden="1"/>
    </dxf>
    <dxf>
      <font>
        <b val="0"/>
        <i val="0"/>
        <strike val="0"/>
        <condense val="0"/>
        <extend val="0"/>
        <outline val="0"/>
        <shadow val="0"/>
        <u val="none"/>
        <vertAlign val="baseline"/>
        <sz val="10"/>
        <color theme="1"/>
        <name val="Franklin Gothic Book"/>
        <scheme val="none"/>
      </font>
      <numFmt numFmtId="6" formatCode="#,##0_);[Red]\(#,##0\)"/>
      <border diagonalUp="0" diagonalDown="0">
        <left style="thin">
          <color auto="1"/>
        </left>
        <right/>
        <top style="thin">
          <color auto="1"/>
        </top>
        <bottom style="thin">
          <color auto="1"/>
        </bottom>
      </border>
      <protection locked="1" hidden="1"/>
    </dxf>
    <dxf>
      <font>
        <b val="0"/>
        <i val="0"/>
        <strike val="0"/>
        <outline val="0"/>
        <shadow val="0"/>
        <u val="none"/>
        <vertAlign val="baseline"/>
        <sz val="10"/>
        <color theme="1"/>
        <name val="Franklin Gothic Book"/>
        <scheme val="none"/>
      </font>
      <protection locked="0" hidden="0"/>
    </dxf>
    <dxf>
      <font>
        <b val="0"/>
        <i val="0"/>
        <strike val="0"/>
        <condense val="0"/>
        <extend val="0"/>
        <outline val="0"/>
        <shadow val="0"/>
        <u val="none"/>
        <vertAlign val="baseline"/>
        <sz val="10"/>
        <color theme="1"/>
        <name val="Franklin Gothic Book"/>
        <scheme val="none"/>
      </font>
      <numFmt numFmtId="6" formatCode="#,##0_);[Red]\(#,##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theme="1"/>
        <name val="Franklin Gothic Book"/>
        <scheme val="none"/>
      </font>
      <numFmt numFmtId="6" formatCode="#,##0_);[Red]\(#,##0\)"/>
      <alignment horizontal="center" vertical="bottom" textRotation="0" wrapText="0" indent="0" justifyLastLine="0" shrinkToFit="0" readingOrder="0"/>
      <border diagonalUp="0" diagonalDown="0">
        <left style="thin">
          <color auto="1"/>
        </left>
        <right/>
        <top style="thin">
          <color auto="1"/>
        </top>
        <bottom style="thin">
          <color auto="1"/>
        </bottom>
      </border>
      <protection locked="0" hidden="0"/>
    </dxf>
    <dxf>
      <font>
        <b val="0"/>
        <i val="0"/>
        <strike val="0"/>
        <condense val="0"/>
        <extend val="0"/>
        <outline val="0"/>
        <shadow val="0"/>
        <u val="none"/>
        <vertAlign val="baseline"/>
        <sz val="10"/>
        <color theme="1"/>
        <name val="Franklin Gothic Book"/>
        <scheme val="none"/>
      </font>
      <numFmt numFmtId="6" formatCode="#,##0_);[Red]\(#,##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theme="1"/>
        <name val="Franklin Gothic Book"/>
        <scheme val="none"/>
      </font>
      <numFmt numFmtId="30" formatCode="@"/>
      <border diagonalUp="0" diagonalDown="0">
        <left/>
        <right style="thin">
          <color auto="1"/>
        </right>
        <top style="thin">
          <color auto="1"/>
        </top>
        <bottom style="thin">
          <color auto="1"/>
        </bottom>
        <vertical/>
        <horizontal/>
      </border>
      <protection locked="0" hidden="0"/>
    </dxf>
    <dxf>
      <border outline="0">
        <left style="thin">
          <color auto="1"/>
        </left>
        <right style="thin">
          <color auto="1"/>
        </right>
      </border>
    </dxf>
    <dxf>
      <protection locked="1"/>
    </dxf>
    <dxf>
      <font>
        <b val="0"/>
        <i val="0"/>
        <strike val="0"/>
        <condense val="0"/>
        <extend val="0"/>
        <outline val="0"/>
        <shadow val="0"/>
        <u val="none"/>
        <vertAlign val="baseline"/>
        <sz val="10"/>
        <color theme="1"/>
        <name val="Arial"/>
        <scheme val="none"/>
      </font>
      <numFmt numFmtId="8" formatCode="#,##0.00_);[Red]\(#,##0.00\)"/>
      <border diagonalUp="0" diagonalDown="0">
        <left style="thin">
          <color auto="1"/>
        </left>
        <right style="thin">
          <color auto="1"/>
        </right>
        <top/>
        <bottom/>
      </border>
      <protection locked="1" hidden="0"/>
    </dxf>
    <dxf>
      <font>
        <b val="0"/>
        <i val="0"/>
        <strike val="0"/>
        <condense val="0"/>
        <extend val="0"/>
        <outline val="0"/>
        <shadow val="0"/>
        <u val="none"/>
        <vertAlign val="baseline"/>
        <sz val="10"/>
        <color theme="1"/>
        <name val="Arial"/>
        <scheme val="none"/>
      </font>
      <numFmt numFmtId="8" formatCode="#,##0.00_);[Red]\(#,##0.00\)"/>
      <border diagonalUp="0" diagonalDown="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0"/>
        <color theme="1"/>
        <name val="Arial"/>
        <scheme val="none"/>
      </font>
      <numFmt numFmtId="8" formatCode="#,##0.00_);[Red]\(#,##0.00\)"/>
      <border diagonalUp="0" diagonalDown="0">
        <left style="thin">
          <color auto="1"/>
        </left>
        <right style="thin">
          <color auto="1"/>
        </right>
        <top/>
        <bottom/>
      </border>
      <protection locked="1" hidden="0"/>
    </dxf>
    <dxf>
      <font>
        <b val="0"/>
        <i val="0"/>
        <strike val="0"/>
        <condense val="0"/>
        <extend val="0"/>
        <outline val="0"/>
        <shadow val="0"/>
        <u val="none"/>
        <vertAlign val="baseline"/>
        <sz val="10"/>
        <color theme="1"/>
        <name val="Arial"/>
        <scheme val="none"/>
      </font>
      <numFmt numFmtId="8" formatCode="#,##0.00_);[Red]\(#,##0.00\)"/>
      <border diagonalUp="0" diagonalDown="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0"/>
        <color theme="1"/>
        <name val="Arial"/>
        <scheme val="none"/>
      </font>
      <numFmt numFmtId="8" formatCode="#,##0.00_);[Red]\(#,##0.00\)"/>
      <border diagonalUp="0" diagonalDown="0">
        <left style="thin">
          <color auto="1"/>
        </left>
        <right style="thin">
          <color auto="1"/>
        </right>
        <top/>
        <bottom/>
      </border>
      <protection locked="1" hidden="0"/>
    </dxf>
    <dxf>
      <font>
        <b val="0"/>
        <i val="0"/>
        <strike val="0"/>
        <condense val="0"/>
        <extend val="0"/>
        <outline val="0"/>
        <shadow val="0"/>
        <u val="none"/>
        <vertAlign val="baseline"/>
        <sz val="10"/>
        <color theme="1"/>
        <name val="Arial"/>
        <scheme val="none"/>
      </font>
      <numFmt numFmtId="8" formatCode="#,##0.00_);[Red]\(#,##0.0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style="thin">
          <color auto="1"/>
        </left>
        <right style="thin">
          <color auto="1"/>
        </right>
        <top/>
        <bottom/>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style="thin">
          <color auto="1"/>
        </left>
        <right style="thin">
          <color auto="1"/>
        </right>
        <top/>
        <bottom/>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style="thin">
          <color indexed="64"/>
        </left>
        <right style="thin">
          <color indexed="64"/>
        </right>
        <top/>
        <bottom style="thin">
          <color indexed="64"/>
        </bottom>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style="thin">
          <color auto="1"/>
        </left>
        <right style="thin">
          <color auto="1"/>
        </right>
        <top/>
        <bottom/>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right style="thin">
          <color indexed="64"/>
        </right>
        <top/>
        <bottom style="thin">
          <color indexed="64"/>
        </bottom>
        <vertical/>
        <horizontal/>
      </border>
      <protection locked="1" hidden="0"/>
    </dxf>
    <dxf>
      <font>
        <b/>
        <i val="0"/>
        <strike val="0"/>
        <condense val="0"/>
        <extend val="0"/>
        <outline val="0"/>
        <shadow val="0"/>
        <u val="none"/>
        <vertAlign val="baseline"/>
        <sz val="10"/>
        <color auto="1"/>
        <name val="Arial"/>
        <scheme val="none"/>
      </font>
      <alignment horizontal="right" vertical="bottom" textRotation="0" wrapText="0" indent="0" justifyLastLine="0" shrinkToFit="0" readingOrder="0"/>
      <border diagonalUp="0" diagonalDown="0">
        <left/>
        <right style="thin">
          <color auto="1"/>
        </right>
        <top/>
        <bottom/>
      </border>
      <protection locked="1" hidden="0"/>
    </dxf>
    <dxf>
      <font>
        <b/>
        <i val="0"/>
        <strike val="0"/>
        <condense val="0"/>
        <extend val="0"/>
        <outline val="0"/>
        <shadow val="0"/>
        <u val="none"/>
        <vertAlign val="baseline"/>
        <sz val="10"/>
        <color auto="1"/>
        <name val="Arial"/>
        <scheme val="none"/>
      </font>
      <border diagonalUp="0" diagonalDown="0">
        <left/>
        <right style="thin">
          <color auto="1"/>
        </right>
        <top style="thin">
          <color auto="1"/>
        </top>
        <bottom style="thin">
          <color auto="1"/>
        </bottom>
        <vertical/>
        <horizontal/>
      </border>
      <protection locked="1" hidden="0"/>
    </dxf>
    <dxf>
      <protection locked="1" hidden="0"/>
    </dxf>
    <dxf>
      <border outline="0">
        <left style="thin">
          <color rgb="FF000000"/>
        </left>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8" formatCode="#,##0.00_);[Red]\(#,##0.00\)"/>
      <border diagonalUp="0" diagonalDown="0">
        <left style="thin">
          <color auto="1"/>
        </left>
        <right style="thin">
          <color auto="1"/>
        </right>
        <top/>
        <bottom/>
      </border>
      <protection locked="1" hidden="0"/>
    </dxf>
    <dxf>
      <font>
        <b val="0"/>
        <i val="0"/>
        <strike val="0"/>
        <condense val="0"/>
        <extend val="0"/>
        <outline val="0"/>
        <shadow val="0"/>
        <u val="none"/>
        <vertAlign val="baseline"/>
        <sz val="10"/>
        <color auto="1"/>
        <name val="Arial"/>
        <scheme val="none"/>
      </font>
      <numFmt numFmtId="8" formatCode="#,##0.00_);[Red]\(#,##0.0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0"/>
        <color theme="1"/>
        <name val="Arial"/>
        <scheme val="none"/>
      </font>
      <numFmt numFmtId="8" formatCode="#,##0.00_);[Red]\(#,##0.00\)"/>
      <border diagonalUp="0" diagonalDown="0">
        <left/>
        <right style="thin">
          <color auto="1"/>
        </right>
        <top/>
        <bottom/>
      </border>
      <protection locked="1" hidden="0"/>
    </dxf>
    <dxf>
      <protection locked="1" hidden="0"/>
    </dxf>
    <dxf>
      <font>
        <b/>
        <i val="0"/>
        <strike val="0"/>
        <condense val="0"/>
        <extend val="0"/>
        <outline val="0"/>
        <shadow val="0"/>
        <u val="none"/>
        <vertAlign val="baseline"/>
        <sz val="10"/>
        <color theme="1"/>
        <name val="Arial"/>
        <scheme val="none"/>
      </font>
      <numFmt numFmtId="8" formatCode="#,##0.00_);[Red]\(#,##0.00\)"/>
      <border diagonalUp="0" diagonalDown="0">
        <left/>
        <right style="thin">
          <color auto="1"/>
        </right>
        <top/>
        <bottom/>
      </border>
      <protection locked="1" hidden="0"/>
    </dxf>
    <dxf>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right style="thin">
          <color auto="1"/>
        </right>
        <top/>
        <bottom/>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right style="thin">
          <color auto="1"/>
        </right>
        <top/>
        <bottom/>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0"/>
        <color rgb="FF0070C0"/>
        <name val="Arial"/>
        <scheme val="none"/>
      </font>
      <numFmt numFmtId="0" formatCode="General"/>
      <border diagonalUp="0" diagonalDown="0">
        <left/>
        <right style="thin">
          <color auto="1"/>
        </right>
        <top/>
        <bottom/>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right style="thin">
          <color auto="1"/>
        </right>
        <top style="thin">
          <color auto="1"/>
        </top>
        <bottom style="thin">
          <color auto="1"/>
        </bottom>
      </border>
      <protection locked="1" hidden="0"/>
    </dxf>
    <dxf>
      <font>
        <b/>
        <i val="0"/>
        <strike val="0"/>
        <condense val="0"/>
        <extend val="0"/>
        <outline val="0"/>
        <shadow val="0"/>
        <u val="none"/>
        <vertAlign val="baseline"/>
        <sz val="10"/>
        <color auto="1"/>
        <name val="Arial"/>
        <scheme val="none"/>
      </font>
      <alignment horizontal="right" vertical="bottom" textRotation="0" wrapText="0" indent="0" justifyLastLine="0" shrinkToFit="0" readingOrder="0"/>
      <border diagonalUp="0" diagonalDown="0">
        <left/>
        <right style="thin">
          <color auto="1"/>
        </right>
        <top/>
        <bottom/>
      </border>
      <protection locked="1" hidden="0"/>
    </dxf>
    <dxf>
      <font>
        <b val="0"/>
        <i val="0"/>
        <strike val="0"/>
        <condense val="0"/>
        <extend val="0"/>
        <outline val="0"/>
        <shadow val="0"/>
        <u val="none"/>
        <vertAlign val="baseline"/>
        <sz val="10"/>
        <color auto="1"/>
        <name val="Arial"/>
        <scheme val="none"/>
      </font>
      <border diagonalUp="0" diagonalDown="0">
        <left/>
        <right style="thin">
          <color auto="1"/>
        </right>
        <top style="thin">
          <color auto="1"/>
        </top>
        <bottom style="thin">
          <color auto="1"/>
        </bottom>
      </border>
      <protection locked="1" hidden="0"/>
    </dxf>
    <dxf>
      <protection locked="1" hidden="0"/>
    </dxf>
    <dxf>
      <border outline="0">
        <left style="thin">
          <color rgb="FF000000"/>
        </left>
        <bottom style="thin">
          <color rgb="FF000000"/>
        </bottom>
      </border>
    </dxf>
    <dxf>
      <protection locked="1" hidden="0"/>
    </dxf>
    <dxf>
      <fill>
        <patternFill patternType="solid">
          <fgColor indexed="64"/>
          <bgColor theme="0" tint="-4.9989318521683403E-2"/>
        </patternFill>
      </fill>
      <protection locked="1" hidden="0"/>
    </dxf>
    <dxf>
      <font>
        <b/>
        <i val="0"/>
        <strike val="0"/>
        <condense val="0"/>
        <extend val="0"/>
        <outline val="0"/>
        <shadow val="0"/>
        <u val="none"/>
        <vertAlign val="baseline"/>
        <sz val="10"/>
        <color theme="1"/>
        <name val="Arial"/>
        <scheme val="none"/>
      </font>
      <numFmt numFmtId="8" formatCode="#,##0.00_);[Red]\(#,##0.00\)"/>
      <border diagonalUp="0" diagonalDown="0">
        <left/>
        <right style="thin">
          <color auto="1"/>
        </right>
        <top/>
        <bottom/>
      </border>
      <protection locked="1" hidden="0"/>
    </dxf>
    <dxf>
      <font>
        <b val="0"/>
        <i val="0"/>
        <strike val="0"/>
        <condense val="0"/>
        <extend val="0"/>
        <outline val="0"/>
        <shadow val="0"/>
        <u val="none"/>
        <vertAlign val="baseline"/>
        <sz val="10"/>
        <color auto="1"/>
        <name val="Arial"/>
        <scheme val="none"/>
      </font>
      <numFmt numFmtId="8" formatCode="#,##0.00_);[Red]\(#,##0.0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0"/>
        <color theme="1"/>
        <name val="Arial"/>
        <scheme val="none"/>
      </font>
      <numFmt numFmtId="8" formatCode="#,##0.00_);[Red]\(#,##0.00\)"/>
      <border diagonalUp="0" diagonalDown="0">
        <left/>
        <right style="thin">
          <color auto="1"/>
        </right>
        <top/>
        <bottom/>
      </border>
      <protection locked="1" hidden="0"/>
    </dxf>
    <dxf>
      <font>
        <b val="0"/>
        <i val="0"/>
        <strike val="0"/>
        <condense val="0"/>
        <extend val="0"/>
        <outline val="0"/>
        <shadow val="0"/>
        <u val="none"/>
        <vertAlign val="baseline"/>
        <sz val="10"/>
        <color auto="1"/>
        <name val="Arial"/>
        <scheme val="none"/>
      </font>
      <numFmt numFmtId="8" formatCode="#,##0.00_);[Red]\(#,##0.0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0"/>
        <color theme="1"/>
        <name val="Arial"/>
        <scheme val="none"/>
      </font>
      <numFmt numFmtId="8" formatCode="#,##0.00_);[Red]\(#,##0.00\)"/>
      <border diagonalUp="0" diagonalDown="0">
        <left/>
        <right style="thin">
          <color auto="1"/>
        </right>
        <top/>
        <bottom/>
      </border>
      <protection locked="1" hidden="0"/>
    </dxf>
    <dxf>
      <font>
        <b val="0"/>
        <i val="0"/>
        <strike val="0"/>
        <condense val="0"/>
        <extend val="0"/>
        <outline val="0"/>
        <shadow val="0"/>
        <u val="none"/>
        <vertAlign val="baseline"/>
        <sz val="10"/>
        <color auto="1"/>
        <name val="Arial"/>
        <scheme val="none"/>
      </font>
      <numFmt numFmtId="8" formatCode="#,##0.00_);[Red]\(#,##0.00\)"/>
      <border diagonalUp="0" diagonalDown="0">
        <left style="thin">
          <color indexed="64"/>
        </left>
        <right style="thin">
          <color indexed="64"/>
        </right>
        <top/>
        <bottom style="thin">
          <color indexed="64"/>
        </bottom>
        <vertical/>
        <horizontal/>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right style="thin">
          <color auto="1"/>
        </right>
        <top/>
        <bottom/>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right style="thin">
          <color auto="1"/>
        </right>
        <top/>
        <bottom/>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right style="thin">
          <color auto="1"/>
        </right>
        <top/>
        <bottom/>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right style="thin">
          <color indexed="64"/>
        </right>
        <top/>
        <bottom style="thin">
          <color indexed="64"/>
        </bottom>
        <vertical/>
        <horizontal/>
      </border>
      <protection locked="1" hidden="0"/>
    </dxf>
    <dxf>
      <font>
        <b/>
        <i val="0"/>
        <strike val="0"/>
        <condense val="0"/>
        <extend val="0"/>
        <outline val="0"/>
        <shadow val="0"/>
        <u val="none"/>
        <vertAlign val="baseline"/>
        <sz val="10"/>
        <color auto="1"/>
        <name val="Arial"/>
        <scheme val="none"/>
      </font>
      <alignment horizontal="right" vertical="bottom" textRotation="0" wrapText="0" indent="0" justifyLastLine="0" shrinkToFit="0" readingOrder="0"/>
      <border diagonalUp="0" diagonalDown="0">
        <left/>
        <right style="thin">
          <color auto="1"/>
        </right>
        <top/>
        <bottom/>
      </border>
      <protection locked="1" hidden="0"/>
    </dxf>
    <dxf>
      <font>
        <b/>
        <i val="0"/>
        <strike val="0"/>
        <condense val="0"/>
        <extend val="0"/>
        <outline val="0"/>
        <shadow val="0"/>
        <u val="none"/>
        <vertAlign val="baseline"/>
        <sz val="10"/>
        <color auto="1"/>
        <name val="Arial"/>
        <scheme val="none"/>
      </font>
      <border diagonalUp="0" diagonalDown="0">
        <left/>
        <right style="thin">
          <color auto="1"/>
        </right>
        <top style="thin">
          <color auto="1"/>
        </top>
        <bottom style="thin">
          <color auto="1"/>
        </bottom>
        <vertical/>
        <horizontal/>
      </border>
      <protection locked="1" hidden="0"/>
    </dxf>
    <dxf>
      <protection locked="1" hidden="0"/>
    </dxf>
    <dxf>
      <border outline="0">
        <left style="thin">
          <color rgb="FF000000"/>
        </left>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0"/>
        <color theme="1"/>
        <name val="Arial"/>
        <scheme val="none"/>
      </font>
      <numFmt numFmtId="0" formatCode="General"/>
      <fill>
        <patternFill patternType="solid">
          <fgColor indexed="64"/>
          <bgColor theme="0" tint="-4.9989318521683403E-2"/>
        </patternFill>
      </fill>
      <alignment horizontal="center" vertical="bottom" textRotation="0" wrapText="1" indent="0" justifyLastLine="0" shrinkToFit="0" readingOrder="0"/>
      <protection locked="1" hidden="0"/>
    </dxf>
    <dxf>
      <font>
        <b val="0"/>
        <i val="0"/>
        <strike val="0"/>
        <condense val="0"/>
        <extend val="0"/>
        <outline val="0"/>
        <shadow val="0"/>
        <u val="none"/>
        <vertAlign val="baseline"/>
        <sz val="10"/>
        <color rgb="FF00B050"/>
        <name val="Arial"/>
        <scheme val="none"/>
      </font>
      <numFmt numFmtId="8" formatCode="#,##0.00_);[Red]\(#,##0.00\)"/>
      <border diagonalUp="0" diagonalDown="0">
        <left style="thin">
          <color auto="1"/>
        </left>
        <right style="thin">
          <color auto="1"/>
        </right>
        <top/>
        <bottom/>
      </border>
    </dxf>
    <dxf>
      <font>
        <b val="0"/>
        <i val="0"/>
        <strike val="0"/>
        <condense val="0"/>
        <extend val="0"/>
        <outline val="0"/>
        <shadow val="0"/>
        <u val="none"/>
        <vertAlign val="baseline"/>
        <sz val="10"/>
        <color rgb="FF00B050"/>
        <name val="Arial"/>
        <scheme val="none"/>
      </font>
      <numFmt numFmtId="8" formatCode="#,##0.00_);[Red]\(#,##0.00\)"/>
      <border diagonalUp="0" diagonalDown="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0"/>
        <color theme="1"/>
        <name val="Arial"/>
        <scheme val="none"/>
      </font>
      <numFmt numFmtId="8" formatCode="#,##0.00_);[Red]\(#,##0.00\)"/>
      <border diagonalUp="0" diagonalDown="0" outline="0">
        <left style="thin">
          <color auto="1"/>
        </left>
        <right style="thin">
          <color auto="1"/>
        </right>
        <top/>
        <bottom/>
      </border>
    </dxf>
    <dxf>
      <font>
        <strike val="0"/>
        <outline val="0"/>
        <shadow val="0"/>
        <u val="none"/>
        <vertAlign val="baseline"/>
        <sz val="10"/>
        <color theme="1"/>
        <name val="Arial"/>
        <scheme val="none"/>
      </font>
    </dxf>
    <dxf>
      <font>
        <b val="0"/>
        <i val="0"/>
        <strike val="0"/>
        <condense val="0"/>
        <extend val="0"/>
        <outline val="0"/>
        <shadow val="0"/>
        <u val="none"/>
        <vertAlign val="baseline"/>
        <sz val="10"/>
        <color rgb="FF00B050"/>
        <name val="Arial"/>
        <scheme val="none"/>
      </font>
      <numFmt numFmtId="8" formatCode="#,##0.00_);[Red]\(#,##0.00\)"/>
      <border diagonalUp="0" diagonalDown="0" outline="0">
        <left style="thin">
          <color auto="1"/>
        </left>
        <right style="thin">
          <color auto="1"/>
        </right>
        <top/>
        <bottom/>
      </border>
    </dxf>
    <dxf>
      <font>
        <b val="0"/>
        <i val="0"/>
        <strike val="0"/>
        <condense val="0"/>
        <extend val="0"/>
        <outline val="0"/>
        <shadow val="0"/>
        <u val="none"/>
        <vertAlign val="baseline"/>
        <sz val="10"/>
        <color rgb="FF00B050"/>
        <name val="Arial"/>
        <scheme val="none"/>
      </font>
      <numFmt numFmtId="8" formatCode="#,##0.00_);[Red]\(#,##0.0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Arial"/>
        <scheme val="none"/>
      </font>
      <numFmt numFmtId="8" formatCode="#,##0.00_);[Red]\(#,##0.00\)"/>
      <border diagonalUp="0" diagonalDown="0" outline="0">
        <left style="thin">
          <color auto="1"/>
        </left>
        <right style="thin">
          <color auto="1"/>
        </right>
        <top/>
        <bottom/>
      </border>
    </dxf>
    <dxf>
      <font>
        <b/>
        <i val="0"/>
        <strike val="0"/>
        <condense val="0"/>
        <extend val="0"/>
        <outline val="0"/>
        <shadow val="0"/>
        <u val="none"/>
        <vertAlign val="baseline"/>
        <sz val="10"/>
        <color theme="1"/>
        <name val="Arial"/>
        <scheme val="none"/>
      </font>
      <numFmt numFmtId="8" formatCode="#,##0.00_);[Red]\(#,##0.0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Arial"/>
        <scheme val="none"/>
      </font>
      <numFmt numFmtId="8" formatCode="#,##0.00_);[Red]\(#,##0.00\)"/>
      <border diagonalUp="0" diagonalDown="0" outline="0">
        <left style="thin">
          <color auto="1"/>
        </left>
        <right style="thin">
          <color auto="1"/>
        </right>
        <top/>
        <bottom/>
      </border>
    </dxf>
    <dxf>
      <font>
        <b/>
        <i val="0"/>
        <strike val="0"/>
        <condense val="0"/>
        <extend val="0"/>
        <outline val="0"/>
        <shadow val="0"/>
        <u val="none"/>
        <vertAlign val="baseline"/>
        <sz val="10"/>
        <color theme="1"/>
        <name val="Arial"/>
        <scheme val="none"/>
      </font>
      <numFmt numFmtId="8" formatCode="#,##0.00_);[Red]\(#,##0.00\)"/>
      <border diagonalUp="0" diagonalDown="0" outline="0">
        <left style="thin">
          <color indexed="64"/>
        </left>
        <right style="thin">
          <color indexed="64"/>
        </right>
        <top/>
        <bottom style="thin">
          <color indexed="64"/>
        </bottom>
      </border>
      <protection locked="0" hidden="0"/>
    </dxf>
    <dxf>
      <font>
        <b/>
        <i val="0"/>
        <strike val="0"/>
        <condense val="0"/>
        <extend val="0"/>
        <outline val="0"/>
        <shadow val="0"/>
        <u val="none"/>
        <vertAlign val="baseline"/>
        <sz val="10"/>
        <color rgb="FF00B050"/>
        <name val="Arial"/>
        <scheme val="none"/>
      </font>
      <numFmt numFmtId="8" formatCode="#,##0.00_);[Red]\(#,##0.00\)"/>
      <border diagonalUp="0" diagonalDown="0" outline="0">
        <left style="thin">
          <color auto="1"/>
        </left>
        <right style="thin">
          <color auto="1"/>
        </right>
        <top/>
        <bottom/>
      </border>
    </dxf>
    <dxf>
      <font>
        <b/>
        <i val="0"/>
        <strike val="0"/>
        <condense val="0"/>
        <extend val="0"/>
        <outline val="0"/>
        <shadow val="0"/>
        <u val="none"/>
        <vertAlign val="baseline"/>
        <sz val="10"/>
        <color rgb="FF00B050"/>
        <name val="Arial"/>
        <scheme val="none"/>
      </font>
      <numFmt numFmtId="8" formatCode="#,##0.00_);[Red]\(#,##0.00\)"/>
      <border diagonalUp="0" diagonalDown="0" outline="0">
        <left/>
        <right style="thin">
          <color indexed="64"/>
        </right>
        <top/>
        <bottom style="thin">
          <color indexed="64"/>
        </bottom>
      </border>
    </dxf>
    <dxf>
      <font>
        <b/>
        <i val="0"/>
        <strike val="0"/>
        <condense val="0"/>
        <extend val="0"/>
        <outline val="0"/>
        <shadow val="0"/>
        <u val="none"/>
        <vertAlign val="baseline"/>
        <sz val="10"/>
        <color auto="1"/>
        <name val="Arial"/>
        <scheme val="none"/>
      </font>
      <border diagonalUp="0" diagonalDown="0">
        <left/>
        <right style="thin">
          <color auto="1"/>
        </right>
        <top style="thin">
          <color auto="1"/>
        </top>
        <bottom style="thin">
          <color auto="1"/>
        </bottom>
        <vertical/>
        <horizontal/>
      </border>
    </dxf>
    <dxf>
      <font>
        <strike val="0"/>
        <outline val="0"/>
        <shadow val="0"/>
        <u val="none"/>
        <vertAlign val="baseline"/>
        <sz val="10"/>
        <color rgb="FF00B050"/>
        <name val="Arial"/>
        <scheme val="none"/>
      </font>
    </dxf>
    <dxf>
      <border outline="0">
        <left style="thin">
          <color indexed="64"/>
        </left>
        <bottom style="thin">
          <color indexed="64"/>
        </bottom>
      </border>
    </dxf>
    <dxf>
      <border outline="0">
        <bottom style="thin">
          <color indexed="64"/>
        </bottom>
      </border>
    </dxf>
    <dxf>
      <font>
        <b/>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8" formatCode="#,##0.00_);[Red]\(#,##0.00\)"/>
      <border diagonalUp="0" diagonalDown="0">
        <left style="thin">
          <color auto="1"/>
        </left>
        <right style="thin">
          <color auto="1"/>
        </right>
        <top/>
        <bottom/>
      </border>
      <protection locked="1" hidden="1"/>
    </dxf>
    <dxf>
      <font>
        <b val="0"/>
        <i val="0"/>
        <strike val="0"/>
        <condense val="0"/>
        <extend val="0"/>
        <outline val="0"/>
        <shadow val="0"/>
        <u val="none"/>
        <vertAlign val="baseline"/>
        <sz val="10"/>
        <color rgb="FF00B050"/>
        <name val="Arial"/>
        <scheme val="none"/>
      </font>
      <numFmt numFmtId="8" formatCode="#,##0.00_);[Red]\(#,##0.0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Arial"/>
        <scheme val="none"/>
      </font>
      <numFmt numFmtId="8" formatCode="#,##0.00_);[Red]\(#,##0.00\)"/>
      <border diagonalUp="0" diagonalDown="0">
        <left/>
        <right style="thin">
          <color auto="1"/>
        </right>
        <top/>
        <bottom/>
      </border>
      <protection locked="1" hidden="1"/>
    </dxf>
    <dxf>
      <border>
        <left style="thin">
          <color indexed="64"/>
        </left>
        <right style="thin">
          <color indexed="64"/>
        </right>
      </border>
    </dxf>
    <dxf>
      <font>
        <b/>
        <i val="0"/>
        <strike val="0"/>
        <condense val="0"/>
        <extend val="0"/>
        <outline val="0"/>
        <shadow val="0"/>
        <u val="none"/>
        <vertAlign val="baseline"/>
        <sz val="10"/>
        <color theme="1"/>
        <name val="Arial"/>
        <scheme val="none"/>
      </font>
      <numFmt numFmtId="8" formatCode="#,##0.00_);[Red]\(#,##0.00\)"/>
      <border diagonalUp="0" diagonalDown="0">
        <left/>
        <right style="thin">
          <color auto="1"/>
        </right>
        <top/>
        <bottom/>
      </border>
      <protection locked="1" hidden="1"/>
    </dxf>
    <dxf>
      <font>
        <strike val="0"/>
        <outline val="0"/>
        <shadow val="0"/>
        <u val="none"/>
        <vertAlign val="baseline"/>
        <sz val="10"/>
        <color rgb="FF00B050"/>
        <name val="Arial"/>
        <scheme val="none"/>
      </font>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right style="thin">
          <color auto="1"/>
        </right>
        <top/>
        <bottom/>
      </border>
      <protection locked="1" hidden="1"/>
    </dxf>
    <dxf>
      <font>
        <b/>
        <i val="0"/>
        <strike val="0"/>
        <condense val="0"/>
        <extend val="0"/>
        <outline val="0"/>
        <shadow val="0"/>
        <u val="none"/>
        <vertAlign val="baseline"/>
        <sz val="10"/>
        <color rgb="FF0070C0"/>
        <name val="Arial"/>
        <scheme val="none"/>
      </font>
      <numFmt numFmtId="8" formatCode="#,##0.00_);[Red]\(#,##0.0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rgb="FF0070C0"/>
        <name val="Arial"/>
        <scheme val="none"/>
      </font>
      <numFmt numFmtId="8" formatCode="#,##0.00_);[Red]\(#,##0.00\)"/>
      <border diagonalUp="0" diagonalDown="0">
        <left/>
        <right style="thin">
          <color auto="1"/>
        </right>
        <top/>
        <bottom/>
      </border>
      <protection locked="1" hidden="1"/>
    </dxf>
    <dxf>
      <font>
        <b/>
        <i val="0"/>
        <strike val="0"/>
        <condense val="0"/>
        <extend val="0"/>
        <outline val="0"/>
        <shadow val="0"/>
        <u val="none"/>
        <vertAlign val="baseline"/>
        <sz val="10"/>
        <color rgb="FF0070C0"/>
        <name val="Arial"/>
        <scheme val="none"/>
      </font>
      <numFmt numFmtId="8" formatCode="#,##0.00_);[Red]\(#,##0.0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0070C0"/>
        <name val="Arial"/>
        <scheme val="none"/>
      </font>
      <numFmt numFmtId="0" formatCode="General"/>
      <border diagonalUp="0" diagonalDown="0">
        <left/>
        <right style="thin">
          <color auto="1"/>
        </right>
        <top/>
        <bottom/>
      </border>
      <protection locked="1" hidden="0"/>
    </dxf>
    <dxf>
      <font>
        <b/>
        <i val="0"/>
        <strike val="0"/>
        <condense val="0"/>
        <extend val="0"/>
        <outline val="0"/>
        <shadow val="0"/>
        <u val="none"/>
        <vertAlign val="baseline"/>
        <sz val="10"/>
        <color rgb="FF00B050"/>
        <name val="Arial"/>
        <scheme val="none"/>
      </font>
      <numFmt numFmtId="8" formatCode="#,##0.00_);[Red]\(#,##0.00\)"/>
      <border diagonalUp="0" diagonalDown="0">
        <left/>
        <right style="thin">
          <color auto="1"/>
        </right>
        <top style="thin">
          <color auto="1"/>
        </top>
        <bottom style="thin">
          <color auto="1"/>
        </bottom>
      </border>
      <protection locked="1" hidden="0"/>
    </dxf>
    <dxf>
      <font>
        <b/>
        <i val="0"/>
        <strike val="0"/>
        <condense val="0"/>
        <extend val="0"/>
        <outline val="0"/>
        <shadow val="0"/>
        <u val="none"/>
        <vertAlign val="baseline"/>
        <sz val="10"/>
        <color auto="1"/>
        <name val="Arial"/>
        <scheme val="none"/>
      </font>
      <alignment horizontal="right" vertical="bottom" textRotation="0" wrapText="0" indent="0" justifyLastLine="0" shrinkToFit="0" readingOrder="0"/>
      <border diagonalUp="0" diagonalDown="0">
        <left/>
        <right style="thin">
          <color auto="1"/>
        </right>
        <top/>
        <bottom/>
      </border>
    </dxf>
    <dxf>
      <font>
        <b val="0"/>
        <i val="0"/>
        <strike val="0"/>
        <condense val="0"/>
        <extend val="0"/>
        <outline val="0"/>
        <shadow val="0"/>
        <u val="none"/>
        <vertAlign val="baseline"/>
        <sz val="10"/>
        <color auto="1"/>
        <name val="Arial"/>
        <scheme val="none"/>
      </font>
      <border diagonalUp="0" diagonalDown="0" outline="0">
        <left/>
        <right/>
        <top style="thin">
          <color auto="1"/>
        </top>
        <bottom style="thin">
          <color auto="1"/>
        </bottom>
      </border>
    </dxf>
    <dxf>
      <border outline="0">
        <left style="thin">
          <color indexed="64"/>
        </left>
        <bottom style="thin">
          <color indexed="64"/>
        </bottom>
      </border>
    </dxf>
    <dxf>
      <fill>
        <patternFill patternType="solid">
          <fgColor indexed="64"/>
          <bgColor theme="0" tint="-4.9989318521683403E-2"/>
        </patternFill>
      </fill>
    </dxf>
    <dxf>
      <font>
        <b/>
        <i val="0"/>
        <strike val="0"/>
        <condense val="0"/>
        <extend val="0"/>
        <outline val="0"/>
        <shadow val="0"/>
        <u val="none"/>
        <vertAlign val="baseline"/>
        <sz val="10"/>
        <color rgb="FF00B050"/>
        <name val="Arial"/>
        <scheme val="none"/>
      </font>
      <numFmt numFmtId="8" formatCode="#,##0.00_);[Red]\(#,##0.00\)"/>
      <border diagonalUp="0" diagonalDown="0">
        <left/>
        <right style="thin">
          <color auto="1"/>
        </right>
        <top/>
        <bottom/>
      </border>
      <protection locked="1" hidden="0"/>
    </dxf>
    <dxf>
      <font>
        <b val="0"/>
        <i val="0"/>
        <strike val="0"/>
        <condense val="0"/>
        <extend val="0"/>
        <outline val="0"/>
        <shadow val="0"/>
        <u val="none"/>
        <vertAlign val="baseline"/>
        <sz val="10"/>
        <color rgb="FF00B050"/>
        <name val="Arial"/>
        <scheme val="none"/>
      </font>
      <numFmt numFmtId="8" formatCode="#,##0.00_);[Red]\(#,##0.0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Arial"/>
        <scheme val="none"/>
      </font>
      <numFmt numFmtId="8" formatCode="#,##0.00_);[Red]\(#,##0.00\)"/>
      <border diagonalUp="0" diagonalDown="0">
        <left/>
        <right style="thin">
          <color auto="1"/>
        </right>
        <top/>
        <bottom/>
      </border>
      <protection locked="1" hidden="1"/>
    </dxf>
    <dxf>
      <font>
        <b val="0"/>
        <i val="0"/>
        <strike val="0"/>
        <condense val="0"/>
        <extend val="0"/>
        <outline val="0"/>
        <shadow val="0"/>
        <u val="none"/>
        <vertAlign val="baseline"/>
        <sz val="10"/>
        <color auto="1"/>
        <name val="Arial"/>
        <scheme val="none"/>
      </font>
      <numFmt numFmtId="8" formatCode="#,##0.00_);[Red]\(#,##0.0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00B050"/>
        <name val="Arial"/>
        <scheme val="none"/>
      </font>
      <numFmt numFmtId="8" formatCode="#,##0.00_);[Red]\(#,##0.00\)"/>
      <border diagonalUp="0" diagonalDown="0">
        <left/>
        <right style="thin">
          <color auto="1"/>
        </right>
        <top/>
        <bottom/>
      </border>
      <protection locked="1" hidden="0"/>
    </dxf>
    <dxf>
      <font>
        <b val="0"/>
        <i val="0"/>
        <strike val="0"/>
        <condense val="0"/>
        <extend val="0"/>
        <outline val="0"/>
        <shadow val="0"/>
        <u val="none"/>
        <vertAlign val="baseline"/>
        <sz val="10"/>
        <color rgb="FF00B050"/>
        <name val="Arial"/>
        <scheme val="none"/>
      </font>
      <numFmt numFmtId="8" formatCode="#,##0.00_);[Red]\(#,##0.00\)"/>
      <border diagonalUp="0" diagonalDown="0" outline="0">
        <left style="thin">
          <color indexed="64"/>
        </left>
        <right style="thin">
          <color indexed="64"/>
        </right>
        <top/>
        <bottom style="thin">
          <color indexed="64"/>
        </bottom>
      </border>
      <protection locked="1" hidden="0"/>
    </dxf>
    <dxf>
      <font>
        <b/>
        <i val="0"/>
        <strike val="0"/>
        <condense val="0"/>
        <extend val="0"/>
        <outline val="0"/>
        <shadow val="0"/>
        <u val="none"/>
        <vertAlign val="baseline"/>
        <sz val="10"/>
        <color rgb="FF0070C0"/>
        <name val="Arial"/>
        <scheme val="none"/>
      </font>
      <numFmt numFmtId="8" formatCode="#,##0.00_);[Red]\(#,##0.00\)"/>
      <border diagonalUp="0" diagonalDown="0">
        <left/>
        <right style="thin">
          <color auto="1"/>
        </right>
        <top/>
        <bottom/>
      </border>
      <protection locked="1" hidden="1"/>
    </dxf>
    <dxf>
      <font>
        <b/>
        <i val="0"/>
        <strike val="0"/>
        <condense val="0"/>
        <extend val="0"/>
        <outline val="0"/>
        <shadow val="0"/>
        <u val="none"/>
        <vertAlign val="baseline"/>
        <sz val="10"/>
        <color rgb="FF0070C0"/>
        <name val="Arial"/>
        <scheme val="none"/>
      </font>
      <numFmt numFmtId="8" formatCode="#,##0.00_);[Red]\(#,##0.0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rgb="FF0070C0"/>
        <name val="Arial"/>
        <scheme val="none"/>
      </font>
      <numFmt numFmtId="8" formatCode="#,##0.00_);[Red]\(#,##0.00\)"/>
      <border diagonalUp="0" diagonalDown="0">
        <left/>
        <right style="thin">
          <color auto="1"/>
        </right>
        <top/>
        <bottom/>
      </border>
      <protection locked="1" hidden="1"/>
    </dxf>
    <dxf>
      <font>
        <b/>
        <i val="0"/>
        <strike val="0"/>
        <condense val="0"/>
        <extend val="0"/>
        <outline val="0"/>
        <shadow val="0"/>
        <u val="none"/>
        <vertAlign val="baseline"/>
        <sz val="10"/>
        <color rgb="FF0070C0"/>
        <name val="Arial"/>
        <scheme val="none"/>
      </font>
      <numFmt numFmtId="8" formatCode="#,##0.00_);[Red]\(#,##0.0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00B050"/>
        <name val="Arial"/>
        <scheme val="none"/>
      </font>
      <numFmt numFmtId="8" formatCode="#,##0.00_);[Red]\(#,##0.00\)"/>
      <border diagonalUp="0" diagonalDown="0">
        <left/>
        <right style="thin">
          <color auto="1"/>
        </right>
        <top/>
        <bottom/>
      </border>
      <protection locked="1" hidden="0"/>
    </dxf>
    <dxf>
      <font>
        <b/>
        <i val="0"/>
        <strike val="0"/>
        <condense val="0"/>
        <extend val="0"/>
        <outline val="0"/>
        <shadow val="0"/>
        <u val="none"/>
        <vertAlign val="baseline"/>
        <sz val="10"/>
        <color rgb="FF00B050"/>
        <name val="Arial"/>
        <scheme val="none"/>
      </font>
      <numFmt numFmtId="8" formatCode="#,##0.00_);[Red]\(#,##0.00\)"/>
      <border diagonalUp="0" diagonalDown="0">
        <left/>
        <right style="thin">
          <color indexed="64"/>
        </right>
        <top/>
        <bottom style="thin">
          <color indexed="64"/>
        </bottom>
      </border>
      <protection locked="1" hidden="0"/>
    </dxf>
    <dxf>
      <font>
        <b/>
        <i val="0"/>
        <strike val="0"/>
        <condense val="0"/>
        <extend val="0"/>
        <outline val="0"/>
        <shadow val="0"/>
        <u val="none"/>
        <vertAlign val="baseline"/>
        <sz val="10"/>
        <color auto="1"/>
        <name val="Arial"/>
        <scheme val="none"/>
      </font>
      <alignment horizontal="right" vertical="bottom" textRotation="0" wrapText="0" indent="0" justifyLastLine="0" shrinkToFit="0" readingOrder="0"/>
      <border diagonalUp="0" diagonalDown="0">
        <left/>
        <right style="thin">
          <color auto="1"/>
        </right>
        <top/>
        <bottom/>
      </border>
    </dxf>
    <dxf>
      <font>
        <b/>
        <i val="0"/>
        <strike val="0"/>
        <condense val="0"/>
        <extend val="0"/>
        <outline val="0"/>
        <shadow val="0"/>
        <u val="none"/>
        <vertAlign val="baseline"/>
        <sz val="10"/>
        <color auto="1"/>
        <name val="Arial"/>
        <scheme val="none"/>
      </font>
      <border diagonalUp="0" diagonalDown="0" outline="0">
        <left/>
        <right/>
        <top style="thin">
          <color auto="1"/>
        </top>
        <bottom style="thin">
          <color auto="1"/>
        </bottom>
      </border>
    </dxf>
    <dxf>
      <border outline="0">
        <left style="thin">
          <color indexed="64"/>
        </left>
        <bottom style="thin">
          <color indexed="64"/>
        </bottom>
      </border>
    </dxf>
    <dxf>
      <border outline="0">
        <bottom style="thin">
          <color indexed="64"/>
        </bottom>
      </border>
    </dxf>
    <dxf>
      <font>
        <b/>
        <i val="0"/>
        <strike val="0"/>
        <condense val="0"/>
        <extend val="0"/>
        <outline val="0"/>
        <shadow val="0"/>
        <u val="none"/>
        <vertAlign val="baseline"/>
        <sz val="10"/>
        <color theme="1"/>
        <name val="Arial"/>
        <scheme val="none"/>
      </font>
      <numFmt numFmtId="0" formatCode="General"/>
      <fill>
        <patternFill patternType="solid">
          <fgColor indexed="64"/>
          <bgColor theme="0" tint="-4.9989318521683403E-2"/>
        </patternFill>
      </fill>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45</xdr:row>
      <xdr:rowOff>0</xdr:rowOff>
    </xdr:from>
    <xdr:to>
      <xdr:col>8</xdr:col>
      <xdr:colOff>304800</xdr:colOff>
      <xdr:row>46</xdr:row>
      <xdr:rowOff>142876</xdr:rowOff>
    </xdr:to>
    <xdr:sp macro="" textlink="">
      <xdr:nvSpPr>
        <xdr:cNvPr id="2055" name="AutoShape 7" descr="http://dmp.truoptik.com/tr.gif?ak=0810d65f&amp;dm=www.mrexcel.com&amp;fck=3A051EAC562B7E55A25538410264C084"/>
        <xdr:cNvSpPr>
          <a:spLocks noChangeAspect="1" noChangeArrowheads="1"/>
        </xdr:cNvSpPr>
      </xdr:nvSpPr>
      <xdr:spPr bwMode="auto">
        <a:xfrm>
          <a:off x="10029825" y="1165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314325</xdr:colOff>
      <xdr:row>45</xdr:row>
      <xdr:rowOff>0</xdr:rowOff>
    </xdr:from>
    <xdr:to>
      <xdr:col>8</xdr:col>
      <xdr:colOff>619125</xdr:colOff>
      <xdr:row>46</xdr:row>
      <xdr:rowOff>142876</xdr:rowOff>
    </xdr:to>
    <xdr:sp macro="" textlink="">
      <xdr:nvSpPr>
        <xdr:cNvPr id="2056" name="AutoShape 8" descr="http://dmp.truoptik.com/tr.gif?ak=0810d65f&amp;dm=www.mrexcel.com&amp;fck=3A051EAC562B7E55A25538410264C084"/>
        <xdr:cNvSpPr>
          <a:spLocks noChangeAspect="1" noChangeArrowheads="1"/>
        </xdr:cNvSpPr>
      </xdr:nvSpPr>
      <xdr:spPr bwMode="auto">
        <a:xfrm>
          <a:off x="10344150" y="1165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42</xdr:row>
      <xdr:rowOff>0</xdr:rowOff>
    </xdr:from>
    <xdr:ext cx="304800" cy="304800"/>
    <xdr:sp macro="" textlink="">
      <xdr:nvSpPr>
        <xdr:cNvPr id="8" name="AutoShape 7" descr="http://dmp.truoptik.com/tr.gif?ak=0810d65f&amp;dm=www.mrexcel.com&amp;fck=3A051EAC562B7E55A25538410264C084"/>
        <xdr:cNvSpPr>
          <a:spLocks noChangeAspect="1" noChangeArrowheads="1"/>
        </xdr:cNvSpPr>
      </xdr:nvSpPr>
      <xdr:spPr bwMode="auto">
        <a:xfrm>
          <a:off x="10029825" y="1165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9" name="AutoShape 8" descr="http://dmp.truoptik.com/tr.gif?ak=0810d65f&amp;dm=www.mrexcel.com&amp;fck=3A051EAC562B7E55A25538410264C084"/>
        <xdr:cNvSpPr>
          <a:spLocks noChangeAspect="1" noChangeArrowheads="1"/>
        </xdr:cNvSpPr>
      </xdr:nvSpPr>
      <xdr:spPr bwMode="auto">
        <a:xfrm>
          <a:off x="10344150" y="1165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0"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1"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12"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13"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14"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15"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16"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17"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18"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19"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20"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21"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22"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24"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25"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26"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27"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28"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29"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30"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31"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32"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33"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34"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35"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36"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37"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38"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39"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40"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41"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42"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43"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44"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45"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46"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47"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48"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49"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50"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51"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52"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53"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54"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55"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56"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57"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60"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61"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62"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63"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64"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65"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66"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67"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68"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69"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70"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71"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72"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73"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74"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75"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76"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77"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78"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79"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80"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81"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82"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83"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84"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85"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86"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87"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88"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89"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90"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91"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92"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93"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94"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95"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96"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97"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98"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63</xdr:row>
      <xdr:rowOff>0</xdr:rowOff>
    </xdr:from>
    <xdr:ext cx="304800" cy="304800"/>
    <xdr:sp macro="" textlink="">
      <xdr:nvSpPr>
        <xdr:cNvPr id="99"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00"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01"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02" name="AutoShape 7" descr="http://dmp.truoptik.com/tr.gif?ak=0810d65f&amp;dm=www.mrexcel.com&amp;fck=3A051EAC562B7E55A25538410264C084"/>
        <xdr:cNvSpPr>
          <a:spLocks noChangeAspect="1" noChangeArrowheads="1"/>
        </xdr:cNvSpPr>
      </xdr:nvSpPr>
      <xdr:spPr bwMode="auto">
        <a:xfrm>
          <a:off x="0"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03" name="AutoShape 8" descr="http://dmp.truoptik.com/tr.gif?ak=0810d65f&amp;dm=www.mrexcel.com&amp;fck=3A051EAC562B7E55A25538410264C084"/>
        <xdr:cNvSpPr>
          <a:spLocks noChangeAspect="1" noChangeArrowheads="1"/>
        </xdr:cNvSpPr>
      </xdr:nvSpPr>
      <xdr:spPr bwMode="auto">
        <a:xfrm>
          <a:off x="314325"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04"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05"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106"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107"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08" name="AutoShape 7" descr="http://dmp.truoptik.com/tr.gif?ak=0810d65f&amp;dm=www.mrexcel.com&amp;fck=3A051EAC562B7E55A25538410264C084"/>
        <xdr:cNvSpPr>
          <a:spLocks noChangeAspect="1" noChangeArrowheads="1"/>
        </xdr:cNvSpPr>
      </xdr:nvSpPr>
      <xdr:spPr bwMode="auto">
        <a:xfrm>
          <a:off x="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09" name="AutoShape 8" descr="http://dmp.truoptik.com/tr.gif?ak=0810d65f&amp;dm=www.mrexcel.com&amp;fck=3A051EAC562B7E55A25538410264C084"/>
        <xdr:cNvSpPr>
          <a:spLocks noChangeAspect="1" noChangeArrowheads="1"/>
        </xdr:cNvSpPr>
      </xdr:nvSpPr>
      <xdr:spPr bwMode="auto">
        <a:xfrm>
          <a:off x="31432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110"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111"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12"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13"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14" name="AutoShape 7" descr="http://dmp.truoptik.com/tr.gif?ak=0810d65f&amp;dm=www.mrexcel.com&amp;fck=3A051EAC562B7E55A25538410264C084"/>
        <xdr:cNvSpPr>
          <a:spLocks noChangeAspect="1" noChangeArrowheads="1"/>
        </xdr:cNvSpPr>
      </xdr:nvSpPr>
      <xdr:spPr bwMode="auto">
        <a:xfrm>
          <a:off x="0"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15" name="AutoShape 8" descr="http://dmp.truoptik.com/tr.gif?ak=0810d65f&amp;dm=www.mrexcel.com&amp;fck=3A051EAC562B7E55A25538410264C084"/>
        <xdr:cNvSpPr>
          <a:spLocks noChangeAspect="1" noChangeArrowheads="1"/>
        </xdr:cNvSpPr>
      </xdr:nvSpPr>
      <xdr:spPr bwMode="auto">
        <a:xfrm>
          <a:off x="314325"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16"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17"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18"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19"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20" name="AutoShape 7" descr="http://dmp.truoptik.com/tr.gif?ak=0810d65f&amp;dm=www.mrexcel.com&amp;fck=3A051EAC562B7E55A25538410264C084"/>
        <xdr:cNvSpPr>
          <a:spLocks noChangeAspect="1" noChangeArrowheads="1"/>
        </xdr:cNvSpPr>
      </xdr:nvSpPr>
      <xdr:spPr bwMode="auto">
        <a:xfrm>
          <a:off x="0"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21" name="AutoShape 8" descr="http://dmp.truoptik.com/tr.gif?ak=0810d65f&amp;dm=www.mrexcel.com&amp;fck=3A051EAC562B7E55A25538410264C084"/>
        <xdr:cNvSpPr>
          <a:spLocks noChangeAspect="1" noChangeArrowheads="1"/>
        </xdr:cNvSpPr>
      </xdr:nvSpPr>
      <xdr:spPr bwMode="auto">
        <a:xfrm>
          <a:off x="314325"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22"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23"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24" name="AutoShape 7" descr="http://dmp.truoptik.com/tr.gif?ak=0810d65f&amp;dm=www.mrexcel.com&amp;fck=3A051EAC562B7E55A25538410264C084"/>
        <xdr:cNvSpPr>
          <a:spLocks noChangeAspect="1" noChangeArrowheads="1"/>
        </xdr:cNvSpPr>
      </xdr:nvSpPr>
      <xdr:spPr bwMode="auto">
        <a:xfrm>
          <a:off x="0"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25" name="AutoShape 8" descr="http://dmp.truoptik.com/tr.gif?ak=0810d65f&amp;dm=www.mrexcel.com&amp;fck=3A051EAC562B7E55A25538410264C084"/>
        <xdr:cNvSpPr>
          <a:spLocks noChangeAspect="1" noChangeArrowheads="1"/>
        </xdr:cNvSpPr>
      </xdr:nvSpPr>
      <xdr:spPr bwMode="auto">
        <a:xfrm>
          <a:off x="314325"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26"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27"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28" name="AutoShape 7" descr="http://dmp.truoptik.com/tr.gif?ak=0810d65f&amp;dm=www.mrexcel.com&amp;fck=3A051EAC562B7E55A25538410264C084"/>
        <xdr:cNvSpPr>
          <a:spLocks noChangeAspect="1" noChangeArrowheads="1"/>
        </xdr:cNvSpPr>
      </xdr:nvSpPr>
      <xdr:spPr bwMode="auto">
        <a:xfrm>
          <a:off x="0"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29" name="AutoShape 8" descr="http://dmp.truoptik.com/tr.gif?ak=0810d65f&amp;dm=www.mrexcel.com&amp;fck=3A051EAC562B7E55A25538410264C084"/>
        <xdr:cNvSpPr>
          <a:spLocks noChangeAspect="1" noChangeArrowheads="1"/>
        </xdr:cNvSpPr>
      </xdr:nvSpPr>
      <xdr:spPr bwMode="auto">
        <a:xfrm>
          <a:off x="314325"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30"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31"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32"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33"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34" name="AutoShape 7" descr="http://dmp.truoptik.com/tr.gif?ak=0810d65f&amp;dm=www.mrexcel.com&amp;fck=3A051EAC562B7E55A25538410264C084"/>
        <xdr:cNvSpPr>
          <a:spLocks noChangeAspect="1" noChangeArrowheads="1"/>
        </xdr:cNvSpPr>
      </xdr:nvSpPr>
      <xdr:spPr bwMode="auto">
        <a:xfrm>
          <a:off x="0"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35" name="AutoShape 8" descr="http://dmp.truoptik.com/tr.gif?ak=0810d65f&amp;dm=www.mrexcel.com&amp;fck=3A051EAC562B7E55A25538410264C084"/>
        <xdr:cNvSpPr>
          <a:spLocks noChangeAspect="1" noChangeArrowheads="1"/>
        </xdr:cNvSpPr>
      </xdr:nvSpPr>
      <xdr:spPr bwMode="auto">
        <a:xfrm>
          <a:off x="314325"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36"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37"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38" name="AutoShape 7" descr="http://dmp.truoptik.com/tr.gif?ak=0810d65f&amp;dm=www.mrexcel.com&amp;fck=3A051EAC562B7E55A25538410264C084"/>
        <xdr:cNvSpPr>
          <a:spLocks noChangeAspect="1" noChangeArrowheads="1"/>
        </xdr:cNvSpPr>
      </xdr:nvSpPr>
      <xdr:spPr bwMode="auto">
        <a:xfrm>
          <a:off x="0"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39" name="AutoShape 8" descr="http://dmp.truoptik.com/tr.gif?ak=0810d65f&amp;dm=www.mrexcel.com&amp;fck=3A051EAC562B7E55A25538410264C084"/>
        <xdr:cNvSpPr>
          <a:spLocks noChangeAspect="1" noChangeArrowheads="1"/>
        </xdr:cNvSpPr>
      </xdr:nvSpPr>
      <xdr:spPr bwMode="auto">
        <a:xfrm>
          <a:off x="314325"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40"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41"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42"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43"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44"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45"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46"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47"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48" name="AutoShape 7" descr="http://dmp.truoptik.com/tr.gif?ak=0810d65f&amp;dm=www.mrexcel.com&amp;fck=3A051EAC562B7E55A25538410264C084"/>
        <xdr:cNvSpPr>
          <a:spLocks noChangeAspect="1" noChangeArrowheads="1"/>
        </xdr:cNvSpPr>
      </xdr:nvSpPr>
      <xdr:spPr bwMode="auto">
        <a:xfrm>
          <a:off x="0"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49" name="AutoShape 8" descr="http://dmp.truoptik.com/tr.gif?ak=0810d65f&amp;dm=www.mrexcel.com&amp;fck=3A051EAC562B7E55A25538410264C084"/>
        <xdr:cNvSpPr>
          <a:spLocks noChangeAspect="1" noChangeArrowheads="1"/>
        </xdr:cNvSpPr>
      </xdr:nvSpPr>
      <xdr:spPr bwMode="auto">
        <a:xfrm>
          <a:off x="314325"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50"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51"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52"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53"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54" name="AutoShape 7" descr="http://dmp.truoptik.com/tr.gif?ak=0810d65f&amp;dm=www.mrexcel.com&amp;fck=3A051EAC562B7E55A25538410264C084"/>
        <xdr:cNvSpPr>
          <a:spLocks noChangeAspect="1" noChangeArrowheads="1"/>
        </xdr:cNvSpPr>
      </xdr:nvSpPr>
      <xdr:spPr bwMode="auto">
        <a:xfrm>
          <a:off x="0"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55" name="AutoShape 8" descr="http://dmp.truoptik.com/tr.gif?ak=0810d65f&amp;dm=www.mrexcel.com&amp;fck=3A051EAC562B7E55A25538410264C084"/>
        <xdr:cNvSpPr>
          <a:spLocks noChangeAspect="1" noChangeArrowheads="1"/>
        </xdr:cNvSpPr>
      </xdr:nvSpPr>
      <xdr:spPr bwMode="auto">
        <a:xfrm>
          <a:off x="314325"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56"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57"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58" name="AutoShape 7" descr="http://dmp.truoptik.com/tr.gif?ak=0810d65f&amp;dm=www.mrexcel.com&amp;fck=3A051EAC562B7E55A25538410264C084"/>
        <xdr:cNvSpPr>
          <a:spLocks noChangeAspect="1" noChangeArrowheads="1"/>
        </xdr:cNvSpPr>
      </xdr:nvSpPr>
      <xdr:spPr bwMode="auto">
        <a:xfrm>
          <a:off x="0"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59" name="AutoShape 8" descr="http://dmp.truoptik.com/tr.gif?ak=0810d65f&amp;dm=www.mrexcel.com&amp;fck=3A051EAC562B7E55A25538410264C084"/>
        <xdr:cNvSpPr>
          <a:spLocks noChangeAspect="1" noChangeArrowheads="1"/>
        </xdr:cNvSpPr>
      </xdr:nvSpPr>
      <xdr:spPr bwMode="auto">
        <a:xfrm>
          <a:off x="314325" y="1149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60"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61"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62"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63"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64"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65"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66"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67"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68"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69"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70" name="AutoShape 7" descr="http://dmp.truoptik.com/tr.gif?ak=0810d65f&amp;dm=www.mrexcel.com&amp;fck=3A051EAC562B7E55A25538410264C084"/>
        <xdr:cNvSpPr>
          <a:spLocks noChangeAspect="1" noChangeArrowheads="1"/>
        </xdr:cNvSpPr>
      </xdr:nvSpPr>
      <xdr:spPr bwMode="auto">
        <a:xfrm>
          <a:off x="0"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71" name="AutoShape 8" descr="http://dmp.truoptik.com/tr.gif?ak=0810d65f&amp;dm=www.mrexcel.com&amp;fck=3A051EAC562B7E55A25538410264C084"/>
        <xdr:cNvSpPr>
          <a:spLocks noChangeAspect="1" noChangeArrowheads="1"/>
        </xdr:cNvSpPr>
      </xdr:nvSpPr>
      <xdr:spPr bwMode="auto">
        <a:xfrm>
          <a:off x="314325" y="113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72" name="AutoShape 7" descr="http://dmp.truoptik.com/tr.gif?ak=0810d65f&amp;dm=www.mrexcel.com&amp;fck=3A051EAC562B7E55A25538410264C084"/>
        <xdr:cNvSpPr>
          <a:spLocks noChangeAspect="1" noChangeArrowheads="1"/>
        </xdr:cNvSpPr>
      </xdr:nvSpPr>
      <xdr:spPr bwMode="auto">
        <a:xfrm>
          <a:off x="0"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73" name="AutoShape 8" descr="http://dmp.truoptik.com/tr.gif?ak=0810d65f&amp;dm=www.mrexcel.com&amp;fck=3A051EAC562B7E55A25538410264C084"/>
        <xdr:cNvSpPr>
          <a:spLocks noChangeAspect="1" noChangeArrowheads="1"/>
        </xdr:cNvSpPr>
      </xdr:nvSpPr>
      <xdr:spPr bwMode="auto">
        <a:xfrm>
          <a:off x="314325"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74" name="AutoShape 7" descr="http://dmp.truoptik.com/tr.gif?ak=0810d65f&amp;dm=www.mrexcel.com&amp;fck=3A051EAC562B7E55A25538410264C084"/>
        <xdr:cNvSpPr>
          <a:spLocks noChangeAspect="1" noChangeArrowheads="1"/>
        </xdr:cNvSpPr>
      </xdr:nvSpPr>
      <xdr:spPr bwMode="auto">
        <a:xfrm>
          <a:off x="0"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75" name="AutoShape 8" descr="http://dmp.truoptik.com/tr.gif?ak=0810d65f&amp;dm=www.mrexcel.com&amp;fck=3A051EAC562B7E55A25538410264C084"/>
        <xdr:cNvSpPr>
          <a:spLocks noChangeAspect="1" noChangeArrowheads="1"/>
        </xdr:cNvSpPr>
      </xdr:nvSpPr>
      <xdr:spPr bwMode="auto">
        <a:xfrm>
          <a:off x="314325"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76" name="AutoShape 7" descr="http://dmp.truoptik.com/tr.gif?ak=0810d65f&amp;dm=www.mrexcel.com&amp;fck=3A051EAC562B7E55A25538410264C084"/>
        <xdr:cNvSpPr>
          <a:spLocks noChangeAspect="1" noChangeArrowheads="1"/>
        </xdr:cNvSpPr>
      </xdr:nvSpPr>
      <xdr:spPr bwMode="auto">
        <a:xfrm>
          <a:off x="0"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77" name="AutoShape 8" descr="http://dmp.truoptik.com/tr.gif?ak=0810d65f&amp;dm=www.mrexcel.com&amp;fck=3A051EAC562B7E55A25538410264C084"/>
        <xdr:cNvSpPr>
          <a:spLocks noChangeAspect="1" noChangeArrowheads="1"/>
        </xdr:cNvSpPr>
      </xdr:nvSpPr>
      <xdr:spPr bwMode="auto">
        <a:xfrm>
          <a:off x="314325"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78" name="AutoShape 7" descr="http://dmp.truoptik.com/tr.gif?ak=0810d65f&amp;dm=www.mrexcel.com&amp;fck=3A051EAC562B7E55A25538410264C084"/>
        <xdr:cNvSpPr>
          <a:spLocks noChangeAspect="1" noChangeArrowheads="1"/>
        </xdr:cNvSpPr>
      </xdr:nvSpPr>
      <xdr:spPr bwMode="auto">
        <a:xfrm>
          <a:off x="0"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79" name="AutoShape 8" descr="http://dmp.truoptik.com/tr.gif?ak=0810d65f&amp;dm=www.mrexcel.com&amp;fck=3A051EAC562B7E55A25538410264C084"/>
        <xdr:cNvSpPr>
          <a:spLocks noChangeAspect="1" noChangeArrowheads="1"/>
        </xdr:cNvSpPr>
      </xdr:nvSpPr>
      <xdr:spPr bwMode="auto">
        <a:xfrm>
          <a:off x="314325"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80" name="AutoShape 7" descr="http://dmp.truoptik.com/tr.gif?ak=0810d65f&amp;dm=www.mrexcel.com&amp;fck=3A051EAC562B7E55A25538410264C084"/>
        <xdr:cNvSpPr>
          <a:spLocks noChangeAspect="1" noChangeArrowheads="1"/>
        </xdr:cNvSpPr>
      </xdr:nvSpPr>
      <xdr:spPr bwMode="auto">
        <a:xfrm>
          <a:off x="0"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81" name="AutoShape 8" descr="http://dmp.truoptik.com/tr.gif?ak=0810d65f&amp;dm=www.mrexcel.com&amp;fck=3A051EAC562B7E55A25538410264C084"/>
        <xdr:cNvSpPr>
          <a:spLocks noChangeAspect="1" noChangeArrowheads="1"/>
        </xdr:cNvSpPr>
      </xdr:nvSpPr>
      <xdr:spPr bwMode="auto">
        <a:xfrm>
          <a:off x="314325"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82" name="AutoShape 7" descr="http://dmp.truoptik.com/tr.gif?ak=0810d65f&amp;dm=www.mrexcel.com&amp;fck=3A051EAC562B7E55A25538410264C084"/>
        <xdr:cNvSpPr>
          <a:spLocks noChangeAspect="1" noChangeArrowheads="1"/>
        </xdr:cNvSpPr>
      </xdr:nvSpPr>
      <xdr:spPr bwMode="auto">
        <a:xfrm>
          <a:off x="0"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83" name="AutoShape 8" descr="http://dmp.truoptik.com/tr.gif?ak=0810d65f&amp;dm=www.mrexcel.com&amp;fck=3A051EAC562B7E55A25538410264C084"/>
        <xdr:cNvSpPr>
          <a:spLocks noChangeAspect="1" noChangeArrowheads="1"/>
        </xdr:cNvSpPr>
      </xdr:nvSpPr>
      <xdr:spPr bwMode="auto">
        <a:xfrm>
          <a:off x="314325"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84" name="AutoShape 7" descr="http://dmp.truoptik.com/tr.gif?ak=0810d65f&amp;dm=www.mrexcel.com&amp;fck=3A051EAC562B7E55A25538410264C084"/>
        <xdr:cNvSpPr>
          <a:spLocks noChangeAspect="1" noChangeArrowheads="1"/>
        </xdr:cNvSpPr>
      </xdr:nvSpPr>
      <xdr:spPr bwMode="auto">
        <a:xfrm>
          <a:off x="0"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85" name="AutoShape 8" descr="http://dmp.truoptik.com/tr.gif?ak=0810d65f&amp;dm=www.mrexcel.com&amp;fck=3A051EAC562B7E55A25538410264C084"/>
        <xdr:cNvSpPr>
          <a:spLocks noChangeAspect="1" noChangeArrowheads="1"/>
        </xdr:cNvSpPr>
      </xdr:nvSpPr>
      <xdr:spPr bwMode="auto">
        <a:xfrm>
          <a:off x="314325"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86" name="AutoShape 7" descr="http://dmp.truoptik.com/tr.gif?ak=0810d65f&amp;dm=www.mrexcel.com&amp;fck=3A051EAC562B7E55A25538410264C084"/>
        <xdr:cNvSpPr>
          <a:spLocks noChangeAspect="1" noChangeArrowheads="1"/>
        </xdr:cNvSpPr>
      </xdr:nvSpPr>
      <xdr:spPr bwMode="auto">
        <a:xfrm>
          <a:off x="0"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87" name="AutoShape 8" descr="http://dmp.truoptik.com/tr.gif?ak=0810d65f&amp;dm=www.mrexcel.com&amp;fck=3A051EAC562B7E55A25538410264C084"/>
        <xdr:cNvSpPr>
          <a:spLocks noChangeAspect="1" noChangeArrowheads="1"/>
        </xdr:cNvSpPr>
      </xdr:nvSpPr>
      <xdr:spPr bwMode="auto">
        <a:xfrm>
          <a:off x="314325"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88" name="AutoShape 7" descr="http://dmp.truoptik.com/tr.gif?ak=0810d65f&amp;dm=www.mrexcel.com&amp;fck=3A051EAC562B7E55A25538410264C084"/>
        <xdr:cNvSpPr>
          <a:spLocks noChangeAspect="1" noChangeArrowheads="1"/>
        </xdr:cNvSpPr>
      </xdr:nvSpPr>
      <xdr:spPr bwMode="auto">
        <a:xfrm>
          <a:off x="0"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89" name="AutoShape 8" descr="http://dmp.truoptik.com/tr.gif?ak=0810d65f&amp;dm=www.mrexcel.com&amp;fck=3A051EAC562B7E55A25538410264C084"/>
        <xdr:cNvSpPr>
          <a:spLocks noChangeAspect="1" noChangeArrowheads="1"/>
        </xdr:cNvSpPr>
      </xdr:nvSpPr>
      <xdr:spPr bwMode="auto">
        <a:xfrm>
          <a:off x="314325"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90" name="AutoShape 7" descr="http://dmp.truoptik.com/tr.gif?ak=0810d65f&amp;dm=www.mrexcel.com&amp;fck=3A051EAC562B7E55A25538410264C084"/>
        <xdr:cNvSpPr>
          <a:spLocks noChangeAspect="1" noChangeArrowheads="1"/>
        </xdr:cNvSpPr>
      </xdr:nvSpPr>
      <xdr:spPr bwMode="auto">
        <a:xfrm>
          <a:off x="0"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91" name="AutoShape 8" descr="http://dmp.truoptik.com/tr.gif?ak=0810d65f&amp;dm=www.mrexcel.com&amp;fck=3A051EAC562B7E55A25538410264C084"/>
        <xdr:cNvSpPr>
          <a:spLocks noChangeAspect="1" noChangeArrowheads="1"/>
        </xdr:cNvSpPr>
      </xdr:nvSpPr>
      <xdr:spPr bwMode="auto">
        <a:xfrm>
          <a:off x="314325"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92" name="AutoShape 7" descr="http://dmp.truoptik.com/tr.gif?ak=0810d65f&amp;dm=www.mrexcel.com&amp;fck=3A051EAC562B7E55A25538410264C084"/>
        <xdr:cNvSpPr>
          <a:spLocks noChangeAspect="1" noChangeArrowheads="1"/>
        </xdr:cNvSpPr>
      </xdr:nvSpPr>
      <xdr:spPr bwMode="auto">
        <a:xfrm>
          <a:off x="0"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93" name="AutoShape 8" descr="http://dmp.truoptik.com/tr.gif?ak=0810d65f&amp;dm=www.mrexcel.com&amp;fck=3A051EAC562B7E55A25538410264C084"/>
        <xdr:cNvSpPr>
          <a:spLocks noChangeAspect="1" noChangeArrowheads="1"/>
        </xdr:cNvSpPr>
      </xdr:nvSpPr>
      <xdr:spPr bwMode="auto">
        <a:xfrm>
          <a:off x="314325"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94" name="AutoShape 7" descr="http://dmp.truoptik.com/tr.gif?ak=0810d65f&amp;dm=www.mrexcel.com&amp;fck=3A051EAC562B7E55A25538410264C084"/>
        <xdr:cNvSpPr>
          <a:spLocks noChangeAspect="1" noChangeArrowheads="1"/>
        </xdr:cNvSpPr>
      </xdr:nvSpPr>
      <xdr:spPr bwMode="auto">
        <a:xfrm>
          <a:off x="0"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95" name="AutoShape 8" descr="http://dmp.truoptik.com/tr.gif?ak=0810d65f&amp;dm=www.mrexcel.com&amp;fck=3A051EAC562B7E55A25538410264C084"/>
        <xdr:cNvSpPr>
          <a:spLocks noChangeAspect="1" noChangeArrowheads="1"/>
        </xdr:cNvSpPr>
      </xdr:nvSpPr>
      <xdr:spPr bwMode="auto">
        <a:xfrm>
          <a:off x="314325"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96" name="AutoShape 7" descr="http://dmp.truoptik.com/tr.gif?ak=0810d65f&amp;dm=www.mrexcel.com&amp;fck=3A051EAC562B7E55A25538410264C084"/>
        <xdr:cNvSpPr>
          <a:spLocks noChangeAspect="1" noChangeArrowheads="1"/>
        </xdr:cNvSpPr>
      </xdr:nvSpPr>
      <xdr:spPr bwMode="auto">
        <a:xfrm>
          <a:off x="0"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97" name="AutoShape 8" descr="http://dmp.truoptik.com/tr.gif?ak=0810d65f&amp;dm=www.mrexcel.com&amp;fck=3A051EAC562B7E55A25538410264C084"/>
        <xdr:cNvSpPr>
          <a:spLocks noChangeAspect="1" noChangeArrowheads="1"/>
        </xdr:cNvSpPr>
      </xdr:nvSpPr>
      <xdr:spPr bwMode="auto">
        <a:xfrm>
          <a:off x="314325"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98" name="AutoShape 7" descr="http://dmp.truoptik.com/tr.gif?ak=0810d65f&amp;dm=www.mrexcel.com&amp;fck=3A051EAC562B7E55A25538410264C084"/>
        <xdr:cNvSpPr>
          <a:spLocks noChangeAspect="1" noChangeArrowheads="1"/>
        </xdr:cNvSpPr>
      </xdr:nvSpPr>
      <xdr:spPr bwMode="auto">
        <a:xfrm>
          <a:off x="0"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99" name="AutoShape 8" descr="http://dmp.truoptik.com/tr.gif?ak=0810d65f&amp;dm=www.mrexcel.com&amp;fck=3A051EAC562B7E55A25538410264C084"/>
        <xdr:cNvSpPr>
          <a:spLocks noChangeAspect="1" noChangeArrowheads="1"/>
        </xdr:cNvSpPr>
      </xdr:nvSpPr>
      <xdr:spPr bwMode="auto">
        <a:xfrm>
          <a:off x="314325"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200" name="AutoShape 7" descr="http://dmp.truoptik.com/tr.gif?ak=0810d65f&amp;dm=www.mrexcel.com&amp;fck=3A051EAC562B7E55A25538410264C084"/>
        <xdr:cNvSpPr>
          <a:spLocks noChangeAspect="1" noChangeArrowheads="1"/>
        </xdr:cNvSpPr>
      </xdr:nvSpPr>
      <xdr:spPr bwMode="auto">
        <a:xfrm>
          <a:off x="0"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201" name="AutoShape 8" descr="http://dmp.truoptik.com/tr.gif?ak=0810d65f&amp;dm=www.mrexcel.com&amp;fck=3A051EAC562B7E55A25538410264C084"/>
        <xdr:cNvSpPr>
          <a:spLocks noChangeAspect="1" noChangeArrowheads="1"/>
        </xdr:cNvSpPr>
      </xdr:nvSpPr>
      <xdr:spPr bwMode="auto">
        <a:xfrm>
          <a:off x="314325"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202" name="AutoShape 7" descr="http://dmp.truoptik.com/tr.gif?ak=0810d65f&amp;dm=www.mrexcel.com&amp;fck=3A051EAC562B7E55A25538410264C084"/>
        <xdr:cNvSpPr>
          <a:spLocks noChangeAspect="1" noChangeArrowheads="1"/>
        </xdr:cNvSpPr>
      </xdr:nvSpPr>
      <xdr:spPr bwMode="auto">
        <a:xfrm>
          <a:off x="0"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203" name="AutoShape 8" descr="http://dmp.truoptik.com/tr.gif?ak=0810d65f&amp;dm=www.mrexcel.com&amp;fck=3A051EAC562B7E55A25538410264C084"/>
        <xdr:cNvSpPr>
          <a:spLocks noChangeAspect="1" noChangeArrowheads="1"/>
        </xdr:cNvSpPr>
      </xdr:nvSpPr>
      <xdr:spPr bwMode="auto">
        <a:xfrm>
          <a:off x="314325" y="11610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204" name="AutoShape 7" descr="http://dmp.truoptik.com/tr.gif?ak=0810d65f&amp;dm=www.mrexcel.com&amp;fck=3A051EAC562B7E55A25538410264C084"/>
        <xdr:cNvSpPr>
          <a:spLocks noChangeAspect="1" noChangeArrowheads="1"/>
        </xdr:cNvSpPr>
      </xdr:nvSpPr>
      <xdr:spPr bwMode="auto">
        <a:xfrm>
          <a:off x="0"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205" name="AutoShape 8" descr="http://dmp.truoptik.com/tr.gif?ak=0810d65f&amp;dm=www.mrexcel.com&amp;fck=3A051EAC562B7E55A25538410264C084"/>
        <xdr:cNvSpPr>
          <a:spLocks noChangeAspect="1" noChangeArrowheads="1"/>
        </xdr:cNvSpPr>
      </xdr:nvSpPr>
      <xdr:spPr bwMode="auto">
        <a:xfrm>
          <a:off x="314325"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206" name="AutoShape 7" descr="http://dmp.truoptik.com/tr.gif?ak=0810d65f&amp;dm=www.mrexcel.com&amp;fck=3A051EAC562B7E55A25538410264C084"/>
        <xdr:cNvSpPr>
          <a:spLocks noChangeAspect="1" noChangeArrowheads="1"/>
        </xdr:cNvSpPr>
      </xdr:nvSpPr>
      <xdr:spPr bwMode="auto">
        <a:xfrm>
          <a:off x="0"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207" name="AutoShape 8" descr="http://dmp.truoptik.com/tr.gif?ak=0810d65f&amp;dm=www.mrexcel.com&amp;fck=3A051EAC562B7E55A25538410264C084"/>
        <xdr:cNvSpPr>
          <a:spLocks noChangeAspect="1" noChangeArrowheads="1"/>
        </xdr:cNvSpPr>
      </xdr:nvSpPr>
      <xdr:spPr bwMode="auto">
        <a:xfrm>
          <a:off x="314325"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208" name="AutoShape 7" descr="http://dmp.truoptik.com/tr.gif?ak=0810d65f&amp;dm=www.mrexcel.com&amp;fck=3A051EAC562B7E55A25538410264C084"/>
        <xdr:cNvSpPr>
          <a:spLocks noChangeAspect="1" noChangeArrowheads="1"/>
        </xdr:cNvSpPr>
      </xdr:nvSpPr>
      <xdr:spPr bwMode="auto">
        <a:xfrm>
          <a:off x="0"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209" name="AutoShape 8" descr="http://dmp.truoptik.com/tr.gif?ak=0810d65f&amp;dm=www.mrexcel.com&amp;fck=3A051EAC562B7E55A25538410264C084"/>
        <xdr:cNvSpPr>
          <a:spLocks noChangeAspect="1" noChangeArrowheads="1"/>
        </xdr:cNvSpPr>
      </xdr:nvSpPr>
      <xdr:spPr bwMode="auto">
        <a:xfrm>
          <a:off x="314325"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210" name="AutoShape 7" descr="http://dmp.truoptik.com/tr.gif?ak=0810d65f&amp;dm=www.mrexcel.com&amp;fck=3A051EAC562B7E55A25538410264C084"/>
        <xdr:cNvSpPr>
          <a:spLocks noChangeAspect="1" noChangeArrowheads="1"/>
        </xdr:cNvSpPr>
      </xdr:nvSpPr>
      <xdr:spPr bwMode="auto">
        <a:xfrm>
          <a:off x="0"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211" name="AutoShape 8" descr="http://dmp.truoptik.com/tr.gif?ak=0810d65f&amp;dm=www.mrexcel.com&amp;fck=3A051EAC562B7E55A25538410264C084"/>
        <xdr:cNvSpPr>
          <a:spLocks noChangeAspect="1" noChangeArrowheads="1"/>
        </xdr:cNvSpPr>
      </xdr:nvSpPr>
      <xdr:spPr bwMode="auto">
        <a:xfrm>
          <a:off x="314325"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212" name="AutoShape 7" descr="http://dmp.truoptik.com/tr.gif?ak=0810d65f&amp;dm=www.mrexcel.com&amp;fck=3A051EAC562B7E55A25538410264C084"/>
        <xdr:cNvSpPr>
          <a:spLocks noChangeAspect="1" noChangeArrowheads="1"/>
        </xdr:cNvSpPr>
      </xdr:nvSpPr>
      <xdr:spPr bwMode="auto">
        <a:xfrm>
          <a:off x="0"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213" name="AutoShape 8" descr="http://dmp.truoptik.com/tr.gif?ak=0810d65f&amp;dm=www.mrexcel.com&amp;fck=3A051EAC562B7E55A25538410264C084"/>
        <xdr:cNvSpPr>
          <a:spLocks noChangeAspect="1" noChangeArrowheads="1"/>
        </xdr:cNvSpPr>
      </xdr:nvSpPr>
      <xdr:spPr bwMode="auto">
        <a:xfrm>
          <a:off x="314325"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214" name="AutoShape 7" descr="http://dmp.truoptik.com/tr.gif?ak=0810d65f&amp;dm=www.mrexcel.com&amp;fck=3A051EAC562B7E55A25538410264C084"/>
        <xdr:cNvSpPr>
          <a:spLocks noChangeAspect="1" noChangeArrowheads="1"/>
        </xdr:cNvSpPr>
      </xdr:nvSpPr>
      <xdr:spPr bwMode="auto">
        <a:xfrm>
          <a:off x="0"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215" name="AutoShape 8" descr="http://dmp.truoptik.com/tr.gif?ak=0810d65f&amp;dm=www.mrexcel.com&amp;fck=3A051EAC562B7E55A25538410264C084"/>
        <xdr:cNvSpPr>
          <a:spLocks noChangeAspect="1" noChangeArrowheads="1"/>
        </xdr:cNvSpPr>
      </xdr:nvSpPr>
      <xdr:spPr bwMode="auto">
        <a:xfrm>
          <a:off x="314325"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216" name="AutoShape 7" descr="http://dmp.truoptik.com/tr.gif?ak=0810d65f&amp;dm=www.mrexcel.com&amp;fck=3A051EAC562B7E55A25538410264C084"/>
        <xdr:cNvSpPr>
          <a:spLocks noChangeAspect="1" noChangeArrowheads="1"/>
        </xdr:cNvSpPr>
      </xdr:nvSpPr>
      <xdr:spPr bwMode="auto">
        <a:xfrm>
          <a:off x="0"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217" name="AutoShape 8" descr="http://dmp.truoptik.com/tr.gif?ak=0810d65f&amp;dm=www.mrexcel.com&amp;fck=3A051EAC562B7E55A25538410264C084"/>
        <xdr:cNvSpPr>
          <a:spLocks noChangeAspect="1" noChangeArrowheads="1"/>
        </xdr:cNvSpPr>
      </xdr:nvSpPr>
      <xdr:spPr bwMode="auto">
        <a:xfrm>
          <a:off x="314325"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218" name="AutoShape 7" descr="http://dmp.truoptik.com/tr.gif?ak=0810d65f&amp;dm=www.mrexcel.com&amp;fck=3A051EAC562B7E55A25538410264C084"/>
        <xdr:cNvSpPr>
          <a:spLocks noChangeAspect="1" noChangeArrowheads="1"/>
        </xdr:cNvSpPr>
      </xdr:nvSpPr>
      <xdr:spPr bwMode="auto">
        <a:xfrm>
          <a:off x="0"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219" name="AutoShape 8" descr="http://dmp.truoptik.com/tr.gif?ak=0810d65f&amp;dm=www.mrexcel.com&amp;fck=3A051EAC562B7E55A25538410264C084"/>
        <xdr:cNvSpPr>
          <a:spLocks noChangeAspect="1" noChangeArrowheads="1"/>
        </xdr:cNvSpPr>
      </xdr:nvSpPr>
      <xdr:spPr bwMode="auto">
        <a:xfrm>
          <a:off x="314325"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220" name="AutoShape 7" descr="http://dmp.truoptik.com/tr.gif?ak=0810d65f&amp;dm=www.mrexcel.com&amp;fck=3A051EAC562B7E55A25538410264C084"/>
        <xdr:cNvSpPr>
          <a:spLocks noChangeAspect="1" noChangeArrowheads="1"/>
        </xdr:cNvSpPr>
      </xdr:nvSpPr>
      <xdr:spPr bwMode="auto">
        <a:xfrm>
          <a:off x="0"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221" name="AutoShape 8" descr="http://dmp.truoptik.com/tr.gif?ak=0810d65f&amp;dm=www.mrexcel.com&amp;fck=3A051EAC562B7E55A25538410264C084"/>
        <xdr:cNvSpPr>
          <a:spLocks noChangeAspect="1" noChangeArrowheads="1"/>
        </xdr:cNvSpPr>
      </xdr:nvSpPr>
      <xdr:spPr bwMode="auto">
        <a:xfrm>
          <a:off x="314325"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222" name="AutoShape 7" descr="http://dmp.truoptik.com/tr.gif?ak=0810d65f&amp;dm=www.mrexcel.com&amp;fck=3A051EAC562B7E55A25538410264C084"/>
        <xdr:cNvSpPr>
          <a:spLocks noChangeAspect="1" noChangeArrowheads="1"/>
        </xdr:cNvSpPr>
      </xdr:nvSpPr>
      <xdr:spPr bwMode="auto">
        <a:xfrm>
          <a:off x="0"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223" name="AutoShape 8" descr="http://dmp.truoptik.com/tr.gif?ak=0810d65f&amp;dm=www.mrexcel.com&amp;fck=3A051EAC562B7E55A25538410264C084"/>
        <xdr:cNvSpPr>
          <a:spLocks noChangeAspect="1" noChangeArrowheads="1"/>
        </xdr:cNvSpPr>
      </xdr:nvSpPr>
      <xdr:spPr bwMode="auto">
        <a:xfrm>
          <a:off x="314325"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224" name="AutoShape 7" descr="http://dmp.truoptik.com/tr.gif?ak=0810d65f&amp;dm=www.mrexcel.com&amp;fck=3A051EAC562B7E55A25538410264C084"/>
        <xdr:cNvSpPr>
          <a:spLocks noChangeAspect="1" noChangeArrowheads="1"/>
        </xdr:cNvSpPr>
      </xdr:nvSpPr>
      <xdr:spPr bwMode="auto">
        <a:xfrm>
          <a:off x="0"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225" name="AutoShape 8" descr="http://dmp.truoptik.com/tr.gif?ak=0810d65f&amp;dm=www.mrexcel.com&amp;fck=3A051EAC562B7E55A25538410264C084"/>
        <xdr:cNvSpPr>
          <a:spLocks noChangeAspect="1" noChangeArrowheads="1"/>
        </xdr:cNvSpPr>
      </xdr:nvSpPr>
      <xdr:spPr bwMode="auto">
        <a:xfrm>
          <a:off x="314325"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226" name="AutoShape 7" descr="http://dmp.truoptik.com/tr.gif?ak=0810d65f&amp;dm=www.mrexcel.com&amp;fck=3A051EAC562B7E55A25538410264C084"/>
        <xdr:cNvSpPr>
          <a:spLocks noChangeAspect="1" noChangeArrowheads="1"/>
        </xdr:cNvSpPr>
      </xdr:nvSpPr>
      <xdr:spPr bwMode="auto">
        <a:xfrm>
          <a:off x="0"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227" name="AutoShape 8" descr="http://dmp.truoptik.com/tr.gif?ak=0810d65f&amp;dm=www.mrexcel.com&amp;fck=3A051EAC562B7E55A25538410264C084"/>
        <xdr:cNvSpPr>
          <a:spLocks noChangeAspect="1" noChangeArrowheads="1"/>
        </xdr:cNvSpPr>
      </xdr:nvSpPr>
      <xdr:spPr bwMode="auto">
        <a:xfrm>
          <a:off x="314325"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228" name="AutoShape 7" descr="http://dmp.truoptik.com/tr.gif?ak=0810d65f&amp;dm=www.mrexcel.com&amp;fck=3A051EAC562B7E55A25538410264C084"/>
        <xdr:cNvSpPr>
          <a:spLocks noChangeAspect="1" noChangeArrowheads="1"/>
        </xdr:cNvSpPr>
      </xdr:nvSpPr>
      <xdr:spPr bwMode="auto">
        <a:xfrm>
          <a:off x="0"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229" name="AutoShape 8" descr="http://dmp.truoptik.com/tr.gif?ak=0810d65f&amp;dm=www.mrexcel.com&amp;fck=3A051EAC562B7E55A25538410264C084"/>
        <xdr:cNvSpPr>
          <a:spLocks noChangeAspect="1" noChangeArrowheads="1"/>
        </xdr:cNvSpPr>
      </xdr:nvSpPr>
      <xdr:spPr bwMode="auto">
        <a:xfrm>
          <a:off x="314325"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230" name="AutoShape 7" descr="http://dmp.truoptik.com/tr.gif?ak=0810d65f&amp;dm=www.mrexcel.com&amp;fck=3A051EAC562B7E55A25538410264C084"/>
        <xdr:cNvSpPr>
          <a:spLocks noChangeAspect="1" noChangeArrowheads="1"/>
        </xdr:cNvSpPr>
      </xdr:nvSpPr>
      <xdr:spPr bwMode="auto">
        <a:xfrm>
          <a:off x="0"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231" name="AutoShape 8" descr="http://dmp.truoptik.com/tr.gif?ak=0810d65f&amp;dm=www.mrexcel.com&amp;fck=3A051EAC562B7E55A25538410264C084"/>
        <xdr:cNvSpPr>
          <a:spLocks noChangeAspect="1" noChangeArrowheads="1"/>
        </xdr:cNvSpPr>
      </xdr:nvSpPr>
      <xdr:spPr bwMode="auto">
        <a:xfrm>
          <a:off x="314325"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232" name="AutoShape 7" descr="http://dmp.truoptik.com/tr.gif?ak=0810d65f&amp;dm=www.mrexcel.com&amp;fck=3A051EAC562B7E55A25538410264C084"/>
        <xdr:cNvSpPr>
          <a:spLocks noChangeAspect="1" noChangeArrowheads="1"/>
        </xdr:cNvSpPr>
      </xdr:nvSpPr>
      <xdr:spPr bwMode="auto">
        <a:xfrm>
          <a:off x="0"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233" name="AutoShape 8" descr="http://dmp.truoptik.com/tr.gif?ak=0810d65f&amp;dm=www.mrexcel.com&amp;fck=3A051EAC562B7E55A25538410264C084"/>
        <xdr:cNvSpPr>
          <a:spLocks noChangeAspect="1" noChangeArrowheads="1"/>
        </xdr:cNvSpPr>
      </xdr:nvSpPr>
      <xdr:spPr bwMode="auto">
        <a:xfrm>
          <a:off x="314325"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234" name="AutoShape 7" descr="http://dmp.truoptik.com/tr.gif?ak=0810d65f&amp;dm=www.mrexcel.com&amp;fck=3A051EAC562B7E55A25538410264C084"/>
        <xdr:cNvSpPr>
          <a:spLocks noChangeAspect="1" noChangeArrowheads="1"/>
        </xdr:cNvSpPr>
      </xdr:nvSpPr>
      <xdr:spPr bwMode="auto">
        <a:xfrm>
          <a:off x="0"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235" name="AutoShape 8" descr="http://dmp.truoptik.com/tr.gif?ak=0810d65f&amp;dm=www.mrexcel.com&amp;fck=3A051EAC562B7E55A25538410264C084"/>
        <xdr:cNvSpPr>
          <a:spLocks noChangeAspect="1" noChangeArrowheads="1"/>
        </xdr:cNvSpPr>
      </xdr:nvSpPr>
      <xdr:spPr bwMode="auto">
        <a:xfrm>
          <a:off x="314325"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236" name="AutoShape 7" descr="http://dmp.truoptik.com/tr.gif?ak=0810d65f&amp;dm=www.mrexcel.com&amp;fck=3A051EAC562B7E55A25538410264C084"/>
        <xdr:cNvSpPr>
          <a:spLocks noChangeAspect="1" noChangeArrowheads="1"/>
        </xdr:cNvSpPr>
      </xdr:nvSpPr>
      <xdr:spPr bwMode="auto">
        <a:xfrm>
          <a:off x="0"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237" name="AutoShape 8" descr="http://dmp.truoptik.com/tr.gif?ak=0810d65f&amp;dm=www.mrexcel.com&amp;fck=3A051EAC562B7E55A25538410264C084"/>
        <xdr:cNvSpPr>
          <a:spLocks noChangeAspect="1" noChangeArrowheads="1"/>
        </xdr:cNvSpPr>
      </xdr:nvSpPr>
      <xdr:spPr bwMode="auto">
        <a:xfrm>
          <a:off x="314325"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238" name="AutoShape 7" descr="http://dmp.truoptik.com/tr.gif?ak=0810d65f&amp;dm=www.mrexcel.com&amp;fck=3A051EAC562B7E55A25538410264C084"/>
        <xdr:cNvSpPr>
          <a:spLocks noChangeAspect="1" noChangeArrowheads="1"/>
        </xdr:cNvSpPr>
      </xdr:nvSpPr>
      <xdr:spPr bwMode="auto">
        <a:xfrm>
          <a:off x="0"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239" name="AutoShape 8" descr="http://dmp.truoptik.com/tr.gif?ak=0810d65f&amp;dm=www.mrexcel.com&amp;fck=3A051EAC562B7E55A25538410264C084"/>
        <xdr:cNvSpPr>
          <a:spLocks noChangeAspect="1" noChangeArrowheads="1"/>
        </xdr:cNvSpPr>
      </xdr:nvSpPr>
      <xdr:spPr bwMode="auto">
        <a:xfrm>
          <a:off x="314325" y="8201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240" name="AutoShape 7" descr="http://dmp.truoptik.com/tr.gif?ak=0810d65f&amp;dm=www.mrexcel.com&amp;fck=3A051EAC562B7E55A25538410264C084"/>
        <xdr:cNvSpPr>
          <a:spLocks noChangeAspect="1" noChangeArrowheads="1"/>
        </xdr:cNvSpPr>
      </xdr:nvSpPr>
      <xdr:spPr bwMode="auto">
        <a:xfrm>
          <a:off x="0"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241" name="AutoShape 8" descr="http://dmp.truoptik.com/tr.gif?ak=0810d65f&amp;dm=www.mrexcel.com&amp;fck=3A051EAC562B7E55A25538410264C084"/>
        <xdr:cNvSpPr>
          <a:spLocks noChangeAspect="1" noChangeArrowheads="1"/>
        </xdr:cNvSpPr>
      </xdr:nvSpPr>
      <xdr:spPr bwMode="auto">
        <a:xfrm>
          <a:off x="314325"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242" name="AutoShape 7" descr="http://dmp.truoptik.com/tr.gif?ak=0810d65f&amp;dm=www.mrexcel.com&amp;fck=3A051EAC562B7E55A25538410264C084"/>
        <xdr:cNvSpPr>
          <a:spLocks noChangeAspect="1" noChangeArrowheads="1"/>
        </xdr:cNvSpPr>
      </xdr:nvSpPr>
      <xdr:spPr bwMode="auto">
        <a:xfrm>
          <a:off x="0"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243" name="AutoShape 8" descr="http://dmp.truoptik.com/tr.gif?ak=0810d65f&amp;dm=www.mrexcel.com&amp;fck=3A051EAC562B7E55A25538410264C084"/>
        <xdr:cNvSpPr>
          <a:spLocks noChangeAspect="1" noChangeArrowheads="1"/>
        </xdr:cNvSpPr>
      </xdr:nvSpPr>
      <xdr:spPr bwMode="auto">
        <a:xfrm>
          <a:off x="314325" y="83681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44" name="AutoShape 7" descr="http://dmp.truoptik.com/tr.gif?ak=0810d65f&amp;dm=www.mrexcel.com&amp;fck=3A051EAC562B7E55A25538410264C084"/>
        <xdr:cNvSpPr>
          <a:spLocks noChangeAspect="1" noChangeArrowheads="1"/>
        </xdr:cNvSpPr>
      </xdr:nvSpPr>
      <xdr:spPr bwMode="auto">
        <a:xfrm>
          <a:off x="0"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45" name="AutoShape 8" descr="http://dmp.truoptik.com/tr.gif?ak=0810d65f&amp;dm=www.mrexcel.com&amp;fck=3A051EAC562B7E55A25538410264C084"/>
        <xdr:cNvSpPr>
          <a:spLocks noChangeAspect="1" noChangeArrowheads="1"/>
        </xdr:cNvSpPr>
      </xdr:nvSpPr>
      <xdr:spPr bwMode="auto">
        <a:xfrm>
          <a:off x="314325"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246" name="AutoShape 7" descr="http://dmp.truoptik.com/tr.gif?ak=0810d65f&amp;dm=www.mrexcel.com&amp;fck=3A051EAC562B7E55A25538410264C084"/>
        <xdr:cNvSpPr>
          <a:spLocks noChangeAspect="1" noChangeArrowheads="1"/>
        </xdr:cNvSpPr>
      </xdr:nvSpPr>
      <xdr:spPr bwMode="auto">
        <a:xfrm>
          <a:off x="0"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247" name="AutoShape 8" descr="http://dmp.truoptik.com/tr.gif?ak=0810d65f&amp;dm=www.mrexcel.com&amp;fck=3A051EAC562B7E55A25538410264C084"/>
        <xdr:cNvSpPr>
          <a:spLocks noChangeAspect="1" noChangeArrowheads="1"/>
        </xdr:cNvSpPr>
      </xdr:nvSpPr>
      <xdr:spPr bwMode="auto">
        <a:xfrm>
          <a:off x="314325"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48"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49"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50"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51"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52" name="AutoShape 7" descr="http://dmp.truoptik.com/tr.gif?ak=0810d65f&amp;dm=www.mrexcel.com&amp;fck=3A051EAC562B7E55A25538410264C084"/>
        <xdr:cNvSpPr>
          <a:spLocks noChangeAspect="1" noChangeArrowheads="1"/>
        </xdr:cNvSpPr>
      </xdr:nvSpPr>
      <xdr:spPr bwMode="auto">
        <a:xfrm>
          <a:off x="0"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53" name="AutoShape 8" descr="http://dmp.truoptik.com/tr.gif?ak=0810d65f&amp;dm=www.mrexcel.com&amp;fck=3A051EAC562B7E55A25538410264C084"/>
        <xdr:cNvSpPr>
          <a:spLocks noChangeAspect="1" noChangeArrowheads="1"/>
        </xdr:cNvSpPr>
      </xdr:nvSpPr>
      <xdr:spPr bwMode="auto">
        <a:xfrm>
          <a:off x="314325"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254" name="AutoShape 7" descr="http://dmp.truoptik.com/tr.gif?ak=0810d65f&amp;dm=www.mrexcel.com&amp;fck=3A051EAC562B7E55A25538410264C084"/>
        <xdr:cNvSpPr>
          <a:spLocks noChangeAspect="1" noChangeArrowheads="1"/>
        </xdr:cNvSpPr>
      </xdr:nvSpPr>
      <xdr:spPr bwMode="auto">
        <a:xfrm>
          <a:off x="0"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255" name="AutoShape 8" descr="http://dmp.truoptik.com/tr.gif?ak=0810d65f&amp;dm=www.mrexcel.com&amp;fck=3A051EAC562B7E55A25538410264C084"/>
        <xdr:cNvSpPr>
          <a:spLocks noChangeAspect="1" noChangeArrowheads="1"/>
        </xdr:cNvSpPr>
      </xdr:nvSpPr>
      <xdr:spPr bwMode="auto">
        <a:xfrm>
          <a:off x="314325"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56"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57"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58"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59"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60"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61"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62"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63"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64" name="AutoShape 7" descr="http://dmp.truoptik.com/tr.gif?ak=0810d65f&amp;dm=www.mrexcel.com&amp;fck=3A051EAC562B7E55A25538410264C084"/>
        <xdr:cNvSpPr>
          <a:spLocks noChangeAspect="1" noChangeArrowheads="1"/>
        </xdr:cNvSpPr>
      </xdr:nvSpPr>
      <xdr:spPr bwMode="auto">
        <a:xfrm>
          <a:off x="0"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65" name="AutoShape 8" descr="http://dmp.truoptik.com/tr.gif?ak=0810d65f&amp;dm=www.mrexcel.com&amp;fck=3A051EAC562B7E55A25538410264C084"/>
        <xdr:cNvSpPr>
          <a:spLocks noChangeAspect="1" noChangeArrowheads="1"/>
        </xdr:cNvSpPr>
      </xdr:nvSpPr>
      <xdr:spPr bwMode="auto">
        <a:xfrm>
          <a:off x="314325"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266" name="AutoShape 7" descr="http://dmp.truoptik.com/tr.gif?ak=0810d65f&amp;dm=www.mrexcel.com&amp;fck=3A051EAC562B7E55A25538410264C084"/>
        <xdr:cNvSpPr>
          <a:spLocks noChangeAspect="1" noChangeArrowheads="1"/>
        </xdr:cNvSpPr>
      </xdr:nvSpPr>
      <xdr:spPr bwMode="auto">
        <a:xfrm>
          <a:off x="0"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57</xdr:row>
      <xdr:rowOff>0</xdr:rowOff>
    </xdr:from>
    <xdr:ext cx="304800" cy="304800"/>
    <xdr:sp macro="" textlink="">
      <xdr:nvSpPr>
        <xdr:cNvPr id="267" name="AutoShape 8" descr="http://dmp.truoptik.com/tr.gif?ak=0810d65f&amp;dm=www.mrexcel.com&amp;fck=3A051EAC562B7E55A25538410264C084"/>
        <xdr:cNvSpPr>
          <a:spLocks noChangeAspect="1" noChangeArrowheads="1"/>
        </xdr:cNvSpPr>
      </xdr:nvSpPr>
      <xdr:spPr bwMode="auto">
        <a:xfrm>
          <a:off x="314325"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268"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269"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270"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271"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272"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273"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274"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275"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276" name="AutoShape 7" descr="http://dmp.truoptik.com/tr.gif?ak=0810d65f&amp;dm=www.mrexcel.com&amp;fck=3A051EAC562B7E55A25538410264C084"/>
        <xdr:cNvSpPr>
          <a:spLocks noChangeAspect="1" noChangeArrowheads="1"/>
        </xdr:cNvSpPr>
      </xdr:nvSpPr>
      <xdr:spPr bwMode="auto">
        <a:xfrm>
          <a:off x="0"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277" name="AutoShape 8" descr="http://dmp.truoptik.com/tr.gif?ak=0810d65f&amp;dm=www.mrexcel.com&amp;fck=3A051EAC562B7E55A25538410264C084"/>
        <xdr:cNvSpPr>
          <a:spLocks noChangeAspect="1" noChangeArrowheads="1"/>
        </xdr:cNvSpPr>
      </xdr:nvSpPr>
      <xdr:spPr bwMode="auto">
        <a:xfrm>
          <a:off x="314325"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278" name="AutoShape 7" descr="http://dmp.truoptik.com/tr.gif?ak=0810d65f&amp;dm=www.mrexcel.com&amp;fck=3A051EAC562B7E55A25538410264C084"/>
        <xdr:cNvSpPr>
          <a:spLocks noChangeAspect="1" noChangeArrowheads="1"/>
        </xdr:cNvSpPr>
      </xdr:nvSpPr>
      <xdr:spPr bwMode="auto">
        <a:xfrm>
          <a:off x="0"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58</xdr:row>
      <xdr:rowOff>0</xdr:rowOff>
    </xdr:from>
    <xdr:ext cx="304800" cy="304800"/>
    <xdr:sp macro="" textlink="">
      <xdr:nvSpPr>
        <xdr:cNvPr id="279" name="AutoShape 8" descr="http://dmp.truoptik.com/tr.gif?ak=0810d65f&amp;dm=www.mrexcel.com&amp;fck=3A051EAC562B7E55A25538410264C084"/>
        <xdr:cNvSpPr>
          <a:spLocks noChangeAspect="1" noChangeArrowheads="1"/>
        </xdr:cNvSpPr>
      </xdr:nvSpPr>
      <xdr:spPr bwMode="auto">
        <a:xfrm>
          <a:off x="314325"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280"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281"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282"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283"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284"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285"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286"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287"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288" name="AutoShape 7" descr="http://dmp.truoptik.com/tr.gif?ak=0810d65f&amp;dm=www.mrexcel.com&amp;fck=3A051EAC562B7E55A25538410264C084"/>
        <xdr:cNvSpPr>
          <a:spLocks noChangeAspect="1" noChangeArrowheads="1"/>
        </xdr:cNvSpPr>
      </xdr:nvSpPr>
      <xdr:spPr bwMode="auto">
        <a:xfrm>
          <a:off x="0"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289" name="AutoShape 8" descr="http://dmp.truoptik.com/tr.gif?ak=0810d65f&amp;dm=www.mrexcel.com&amp;fck=3A051EAC562B7E55A25538410264C084"/>
        <xdr:cNvSpPr>
          <a:spLocks noChangeAspect="1" noChangeArrowheads="1"/>
        </xdr:cNvSpPr>
      </xdr:nvSpPr>
      <xdr:spPr bwMode="auto">
        <a:xfrm>
          <a:off x="314325"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290" name="AutoShape 7" descr="http://dmp.truoptik.com/tr.gif?ak=0810d65f&amp;dm=www.mrexcel.com&amp;fck=3A051EAC562B7E55A25538410264C084"/>
        <xdr:cNvSpPr>
          <a:spLocks noChangeAspect="1" noChangeArrowheads="1"/>
        </xdr:cNvSpPr>
      </xdr:nvSpPr>
      <xdr:spPr bwMode="auto">
        <a:xfrm>
          <a:off x="0"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59</xdr:row>
      <xdr:rowOff>0</xdr:rowOff>
    </xdr:from>
    <xdr:ext cx="304800" cy="304800"/>
    <xdr:sp macro="" textlink="">
      <xdr:nvSpPr>
        <xdr:cNvPr id="291" name="AutoShape 8" descr="http://dmp.truoptik.com/tr.gif?ak=0810d65f&amp;dm=www.mrexcel.com&amp;fck=3A051EAC562B7E55A25538410264C084"/>
        <xdr:cNvSpPr>
          <a:spLocks noChangeAspect="1" noChangeArrowheads="1"/>
        </xdr:cNvSpPr>
      </xdr:nvSpPr>
      <xdr:spPr bwMode="auto">
        <a:xfrm>
          <a:off x="314325"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292"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293"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294"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295"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296"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297"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298"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299"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00" name="AutoShape 7" descr="http://dmp.truoptik.com/tr.gif?ak=0810d65f&amp;dm=www.mrexcel.com&amp;fck=3A051EAC562B7E55A25538410264C084"/>
        <xdr:cNvSpPr>
          <a:spLocks noChangeAspect="1" noChangeArrowheads="1"/>
        </xdr:cNvSpPr>
      </xdr:nvSpPr>
      <xdr:spPr bwMode="auto">
        <a:xfrm>
          <a:off x="0"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01" name="AutoShape 8" descr="http://dmp.truoptik.com/tr.gif?ak=0810d65f&amp;dm=www.mrexcel.com&amp;fck=3A051EAC562B7E55A25538410264C084"/>
        <xdr:cNvSpPr>
          <a:spLocks noChangeAspect="1" noChangeArrowheads="1"/>
        </xdr:cNvSpPr>
      </xdr:nvSpPr>
      <xdr:spPr bwMode="auto">
        <a:xfrm>
          <a:off x="314325"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02" name="AutoShape 7" descr="http://dmp.truoptik.com/tr.gif?ak=0810d65f&amp;dm=www.mrexcel.com&amp;fck=3A051EAC562B7E55A25538410264C084"/>
        <xdr:cNvSpPr>
          <a:spLocks noChangeAspect="1" noChangeArrowheads="1"/>
        </xdr:cNvSpPr>
      </xdr:nvSpPr>
      <xdr:spPr bwMode="auto">
        <a:xfrm>
          <a:off x="0"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03" name="AutoShape 8" descr="http://dmp.truoptik.com/tr.gif?ak=0810d65f&amp;dm=www.mrexcel.com&amp;fck=3A051EAC562B7E55A25538410264C084"/>
        <xdr:cNvSpPr>
          <a:spLocks noChangeAspect="1" noChangeArrowheads="1"/>
        </xdr:cNvSpPr>
      </xdr:nvSpPr>
      <xdr:spPr bwMode="auto">
        <a:xfrm>
          <a:off x="314325" y="93656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04"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05"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06"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07"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08"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09"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10" name="AutoShape 7" descr="http://dmp.truoptik.com/tr.gif?ak=0810d65f&amp;dm=www.mrexcel.com&amp;fck=3A051EAC562B7E55A25538410264C084"/>
        <xdr:cNvSpPr>
          <a:spLocks noChangeAspect="1" noChangeArrowheads="1"/>
        </xdr:cNvSpPr>
      </xdr:nvSpPr>
      <xdr:spPr bwMode="auto">
        <a:xfrm>
          <a:off x="0"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11" name="AutoShape 8" descr="http://dmp.truoptik.com/tr.gif?ak=0810d65f&amp;dm=www.mrexcel.com&amp;fck=3A051EAC562B7E55A25538410264C084"/>
        <xdr:cNvSpPr>
          <a:spLocks noChangeAspect="1" noChangeArrowheads="1"/>
        </xdr:cNvSpPr>
      </xdr:nvSpPr>
      <xdr:spPr bwMode="auto">
        <a:xfrm>
          <a:off x="314325" y="95319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12" name="AutoShape 7" descr="http://dmp.truoptik.com/tr.gif?ak=0810d65f&amp;dm=www.mrexcel.com&amp;fck=3A051EAC562B7E55A25538410264C084"/>
        <xdr:cNvSpPr>
          <a:spLocks noChangeAspect="1" noChangeArrowheads="1"/>
        </xdr:cNvSpPr>
      </xdr:nvSpPr>
      <xdr:spPr bwMode="auto">
        <a:xfrm>
          <a:off x="0"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13" name="AutoShape 8" descr="http://dmp.truoptik.com/tr.gif?ak=0810d65f&amp;dm=www.mrexcel.com&amp;fck=3A051EAC562B7E55A25538410264C084"/>
        <xdr:cNvSpPr>
          <a:spLocks noChangeAspect="1" noChangeArrowheads="1"/>
        </xdr:cNvSpPr>
      </xdr:nvSpPr>
      <xdr:spPr bwMode="auto">
        <a:xfrm>
          <a:off x="314325"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14" name="AutoShape 7" descr="http://dmp.truoptik.com/tr.gif?ak=0810d65f&amp;dm=www.mrexcel.com&amp;fck=3A051EAC562B7E55A25538410264C084"/>
        <xdr:cNvSpPr>
          <a:spLocks noChangeAspect="1" noChangeArrowheads="1"/>
        </xdr:cNvSpPr>
      </xdr:nvSpPr>
      <xdr:spPr bwMode="auto">
        <a:xfrm>
          <a:off x="0"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15" name="AutoShape 8" descr="http://dmp.truoptik.com/tr.gif?ak=0810d65f&amp;dm=www.mrexcel.com&amp;fck=3A051EAC562B7E55A25538410264C084"/>
        <xdr:cNvSpPr>
          <a:spLocks noChangeAspect="1" noChangeArrowheads="1"/>
        </xdr:cNvSpPr>
      </xdr:nvSpPr>
      <xdr:spPr bwMode="auto">
        <a:xfrm>
          <a:off x="314325"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16" name="AutoShape 7" descr="http://dmp.truoptik.com/tr.gif?ak=0810d65f&amp;dm=www.mrexcel.com&amp;fck=3A051EAC562B7E55A25538410264C084"/>
        <xdr:cNvSpPr>
          <a:spLocks noChangeAspect="1" noChangeArrowheads="1"/>
        </xdr:cNvSpPr>
      </xdr:nvSpPr>
      <xdr:spPr bwMode="auto">
        <a:xfrm>
          <a:off x="0"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17" name="AutoShape 8" descr="http://dmp.truoptik.com/tr.gif?ak=0810d65f&amp;dm=www.mrexcel.com&amp;fck=3A051EAC562B7E55A25538410264C084"/>
        <xdr:cNvSpPr>
          <a:spLocks noChangeAspect="1" noChangeArrowheads="1"/>
        </xdr:cNvSpPr>
      </xdr:nvSpPr>
      <xdr:spPr bwMode="auto">
        <a:xfrm>
          <a:off x="314325"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18" name="AutoShape 7" descr="http://dmp.truoptik.com/tr.gif?ak=0810d65f&amp;dm=www.mrexcel.com&amp;fck=3A051EAC562B7E55A25538410264C084"/>
        <xdr:cNvSpPr>
          <a:spLocks noChangeAspect="1" noChangeArrowheads="1"/>
        </xdr:cNvSpPr>
      </xdr:nvSpPr>
      <xdr:spPr bwMode="auto">
        <a:xfrm>
          <a:off x="0"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19" name="AutoShape 8" descr="http://dmp.truoptik.com/tr.gif?ak=0810d65f&amp;dm=www.mrexcel.com&amp;fck=3A051EAC562B7E55A25538410264C084"/>
        <xdr:cNvSpPr>
          <a:spLocks noChangeAspect="1" noChangeArrowheads="1"/>
        </xdr:cNvSpPr>
      </xdr:nvSpPr>
      <xdr:spPr bwMode="auto">
        <a:xfrm>
          <a:off x="314325"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20" name="AutoShape 7" descr="http://dmp.truoptik.com/tr.gif?ak=0810d65f&amp;dm=www.mrexcel.com&amp;fck=3A051EAC562B7E55A25538410264C084"/>
        <xdr:cNvSpPr>
          <a:spLocks noChangeAspect="1" noChangeArrowheads="1"/>
        </xdr:cNvSpPr>
      </xdr:nvSpPr>
      <xdr:spPr bwMode="auto">
        <a:xfrm>
          <a:off x="0"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21" name="AutoShape 8" descr="http://dmp.truoptik.com/tr.gif?ak=0810d65f&amp;dm=www.mrexcel.com&amp;fck=3A051EAC562B7E55A25538410264C084"/>
        <xdr:cNvSpPr>
          <a:spLocks noChangeAspect="1" noChangeArrowheads="1"/>
        </xdr:cNvSpPr>
      </xdr:nvSpPr>
      <xdr:spPr bwMode="auto">
        <a:xfrm>
          <a:off x="314325"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322" name="AutoShape 7" descr="http://dmp.truoptik.com/tr.gif?ak=0810d65f&amp;dm=www.mrexcel.com&amp;fck=3A051EAC562B7E55A25538410264C084"/>
        <xdr:cNvSpPr>
          <a:spLocks noChangeAspect="1" noChangeArrowheads="1"/>
        </xdr:cNvSpPr>
      </xdr:nvSpPr>
      <xdr:spPr bwMode="auto">
        <a:xfrm>
          <a:off x="0"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60</xdr:row>
      <xdr:rowOff>0</xdr:rowOff>
    </xdr:from>
    <xdr:ext cx="304800" cy="304800"/>
    <xdr:sp macro="" textlink="">
      <xdr:nvSpPr>
        <xdr:cNvPr id="323" name="AutoShape 8" descr="http://dmp.truoptik.com/tr.gif?ak=0810d65f&amp;dm=www.mrexcel.com&amp;fck=3A051EAC562B7E55A25538410264C084"/>
        <xdr:cNvSpPr>
          <a:spLocks noChangeAspect="1" noChangeArrowheads="1"/>
        </xdr:cNvSpPr>
      </xdr:nvSpPr>
      <xdr:spPr bwMode="auto">
        <a:xfrm>
          <a:off x="314325"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24"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25"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26"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27"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28"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29"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30"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31"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32"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33"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34"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35"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36" name="AutoShape 7" descr="http://dmp.truoptik.com/tr.gif?ak=0810d65f&amp;dm=www.mrexcel.com&amp;fck=3A051EAC562B7E55A25538410264C084"/>
        <xdr:cNvSpPr>
          <a:spLocks noChangeAspect="1" noChangeArrowheads="1"/>
        </xdr:cNvSpPr>
      </xdr:nvSpPr>
      <xdr:spPr bwMode="auto">
        <a:xfrm>
          <a:off x="0"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37" name="AutoShape 8" descr="http://dmp.truoptik.com/tr.gif?ak=0810d65f&amp;dm=www.mrexcel.com&amp;fck=3A051EAC562B7E55A25538410264C084"/>
        <xdr:cNvSpPr>
          <a:spLocks noChangeAspect="1" noChangeArrowheads="1"/>
        </xdr:cNvSpPr>
      </xdr:nvSpPr>
      <xdr:spPr bwMode="auto">
        <a:xfrm>
          <a:off x="314325"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38" name="AutoShape 7" descr="http://dmp.truoptik.com/tr.gif?ak=0810d65f&amp;dm=www.mrexcel.com&amp;fck=3A051EAC562B7E55A25538410264C084"/>
        <xdr:cNvSpPr>
          <a:spLocks noChangeAspect="1" noChangeArrowheads="1"/>
        </xdr:cNvSpPr>
      </xdr:nvSpPr>
      <xdr:spPr bwMode="auto">
        <a:xfrm>
          <a:off x="0"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39" name="AutoShape 8" descr="http://dmp.truoptik.com/tr.gif?ak=0810d65f&amp;dm=www.mrexcel.com&amp;fck=3A051EAC562B7E55A25538410264C084"/>
        <xdr:cNvSpPr>
          <a:spLocks noChangeAspect="1" noChangeArrowheads="1"/>
        </xdr:cNvSpPr>
      </xdr:nvSpPr>
      <xdr:spPr bwMode="auto">
        <a:xfrm>
          <a:off x="314325"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40" name="AutoShape 7" descr="http://dmp.truoptik.com/tr.gif?ak=0810d65f&amp;dm=www.mrexcel.com&amp;fck=3A051EAC562B7E55A25538410264C084"/>
        <xdr:cNvSpPr>
          <a:spLocks noChangeAspect="1" noChangeArrowheads="1"/>
        </xdr:cNvSpPr>
      </xdr:nvSpPr>
      <xdr:spPr bwMode="auto">
        <a:xfrm>
          <a:off x="0"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41" name="AutoShape 8" descr="http://dmp.truoptik.com/tr.gif?ak=0810d65f&amp;dm=www.mrexcel.com&amp;fck=3A051EAC562B7E55A25538410264C084"/>
        <xdr:cNvSpPr>
          <a:spLocks noChangeAspect="1" noChangeArrowheads="1"/>
        </xdr:cNvSpPr>
      </xdr:nvSpPr>
      <xdr:spPr bwMode="auto">
        <a:xfrm>
          <a:off x="314325"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42" name="AutoShape 7" descr="http://dmp.truoptik.com/tr.gif?ak=0810d65f&amp;dm=www.mrexcel.com&amp;fck=3A051EAC562B7E55A25538410264C084"/>
        <xdr:cNvSpPr>
          <a:spLocks noChangeAspect="1" noChangeArrowheads="1"/>
        </xdr:cNvSpPr>
      </xdr:nvSpPr>
      <xdr:spPr bwMode="auto">
        <a:xfrm>
          <a:off x="0"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43" name="AutoShape 8" descr="http://dmp.truoptik.com/tr.gif?ak=0810d65f&amp;dm=www.mrexcel.com&amp;fck=3A051EAC562B7E55A25538410264C084"/>
        <xdr:cNvSpPr>
          <a:spLocks noChangeAspect="1" noChangeArrowheads="1"/>
        </xdr:cNvSpPr>
      </xdr:nvSpPr>
      <xdr:spPr bwMode="auto">
        <a:xfrm>
          <a:off x="314325"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44" name="AutoShape 7" descr="http://dmp.truoptik.com/tr.gif?ak=0810d65f&amp;dm=www.mrexcel.com&amp;fck=3A051EAC562B7E55A25538410264C084"/>
        <xdr:cNvSpPr>
          <a:spLocks noChangeAspect="1" noChangeArrowheads="1"/>
        </xdr:cNvSpPr>
      </xdr:nvSpPr>
      <xdr:spPr bwMode="auto">
        <a:xfrm>
          <a:off x="0"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45" name="AutoShape 8" descr="http://dmp.truoptik.com/tr.gif?ak=0810d65f&amp;dm=www.mrexcel.com&amp;fck=3A051EAC562B7E55A25538410264C084"/>
        <xdr:cNvSpPr>
          <a:spLocks noChangeAspect="1" noChangeArrowheads="1"/>
        </xdr:cNvSpPr>
      </xdr:nvSpPr>
      <xdr:spPr bwMode="auto">
        <a:xfrm>
          <a:off x="314325"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346" name="AutoShape 7" descr="http://dmp.truoptik.com/tr.gif?ak=0810d65f&amp;dm=www.mrexcel.com&amp;fck=3A051EAC562B7E55A25538410264C084"/>
        <xdr:cNvSpPr>
          <a:spLocks noChangeAspect="1" noChangeArrowheads="1"/>
        </xdr:cNvSpPr>
      </xdr:nvSpPr>
      <xdr:spPr bwMode="auto">
        <a:xfrm>
          <a:off x="0"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61</xdr:row>
      <xdr:rowOff>0</xdr:rowOff>
    </xdr:from>
    <xdr:ext cx="304800" cy="304800"/>
    <xdr:sp macro="" textlink="">
      <xdr:nvSpPr>
        <xdr:cNvPr id="347" name="AutoShape 8" descr="http://dmp.truoptik.com/tr.gif?ak=0810d65f&amp;dm=www.mrexcel.com&amp;fck=3A051EAC562B7E55A25538410264C084"/>
        <xdr:cNvSpPr>
          <a:spLocks noChangeAspect="1" noChangeArrowheads="1"/>
        </xdr:cNvSpPr>
      </xdr:nvSpPr>
      <xdr:spPr bwMode="auto">
        <a:xfrm>
          <a:off x="314325" y="101969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48"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49"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50"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51"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52"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53"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54"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55"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56"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57"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58"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59"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60"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61"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62"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63"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64"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65"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66"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67"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68"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69"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370" name="AutoShape 7" descr="http://dmp.truoptik.com/tr.gif?ak=0810d65f&amp;dm=www.mrexcel.com&amp;fck=3A051EAC562B7E55A25538410264C084"/>
        <xdr:cNvSpPr>
          <a:spLocks noChangeAspect="1" noChangeArrowheads="1"/>
        </xdr:cNvSpPr>
      </xdr:nvSpPr>
      <xdr:spPr bwMode="auto">
        <a:xfrm>
          <a:off x="0"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62</xdr:row>
      <xdr:rowOff>0</xdr:rowOff>
    </xdr:from>
    <xdr:ext cx="304800" cy="304800"/>
    <xdr:sp macro="" textlink="">
      <xdr:nvSpPr>
        <xdr:cNvPr id="371" name="AutoShape 8" descr="http://dmp.truoptik.com/tr.gif?ak=0810d65f&amp;dm=www.mrexcel.com&amp;fck=3A051EAC562B7E55A25538410264C084"/>
        <xdr:cNvSpPr>
          <a:spLocks noChangeAspect="1" noChangeArrowheads="1"/>
        </xdr:cNvSpPr>
      </xdr:nvSpPr>
      <xdr:spPr bwMode="auto">
        <a:xfrm>
          <a:off x="314325" y="103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44</xdr:row>
      <xdr:rowOff>0</xdr:rowOff>
    </xdr:from>
    <xdr:to>
      <xdr:col>8</xdr:col>
      <xdr:colOff>304800</xdr:colOff>
      <xdr:row>45</xdr:row>
      <xdr:rowOff>142875</xdr:rowOff>
    </xdr:to>
    <xdr:sp macro="" textlink="">
      <xdr:nvSpPr>
        <xdr:cNvPr id="2" name="AutoShape 7" descr="http://dmp.truoptik.com/tr.gif?ak=0810d65f&amp;dm=www.mrexcel.com&amp;fck=3A051EAC562B7E55A25538410264C084"/>
        <xdr:cNvSpPr>
          <a:spLocks noChangeAspect="1" noChangeArrowheads="1"/>
        </xdr:cNvSpPr>
      </xdr:nvSpPr>
      <xdr:spPr bwMode="auto">
        <a:xfrm>
          <a:off x="10020300" y="120167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314325</xdr:colOff>
      <xdr:row>44</xdr:row>
      <xdr:rowOff>0</xdr:rowOff>
    </xdr:from>
    <xdr:to>
      <xdr:col>8</xdr:col>
      <xdr:colOff>619125</xdr:colOff>
      <xdr:row>45</xdr:row>
      <xdr:rowOff>142875</xdr:rowOff>
    </xdr:to>
    <xdr:sp macro="" textlink="">
      <xdr:nvSpPr>
        <xdr:cNvPr id="3" name="AutoShape 8" descr="http://dmp.truoptik.com/tr.gif?ak=0810d65f&amp;dm=www.mrexcel.com&amp;fck=3A051EAC562B7E55A25538410264C084"/>
        <xdr:cNvSpPr>
          <a:spLocks noChangeAspect="1" noChangeArrowheads="1"/>
        </xdr:cNvSpPr>
      </xdr:nvSpPr>
      <xdr:spPr bwMode="auto">
        <a:xfrm>
          <a:off x="10334625" y="120167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41</xdr:row>
      <xdr:rowOff>0</xdr:rowOff>
    </xdr:from>
    <xdr:ext cx="304800" cy="304800"/>
    <xdr:sp macro="" textlink="">
      <xdr:nvSpPr>
        <xdr:cNvPr id="4"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5"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6"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7"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8" name="AutoShape 7" descr="http://dmp.truoptik.com/tr.gif?ak=0810d65f&amp;dm=www.mrexcel.com&amp;fck=3A051EAC562B7E55A25538410264C084"/>
        <xdr:cNvSpPr>
          <a:spLocks noChangeAspect="1" noChangeArrowheads="1"/>
        </xdr:cNvSpPr>
      </xdr:nvSpPr>
      <xdr:spPr bwMode="auto">
        <a:xfrm>
          <a:off x="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9" name="AutoShape 8" descr="http://dmp.truoptik.com/tr.gif?ak=0810d65f&amp;dm=www.mrexcel.com&amp;fck=3A051EAC562B7E55A25538410264C084"/>
        <xdr:cNvSpPr>
          <a:spLocks noChangeAspect="1" noChangeArrowheads="1"/>
        </xdr:cNvSpPr>
      </xdr:nvSpPr>
      <xdr:spPr bwMode="auto">
        <a:xfrm>
          <a:off x="314325"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10" name="AutoShape 7" descr="http://dmp.truoptik.com/tr.gif?ak=0810d65f&amp;dm=www.mrexcel.com&amp;fck=3A051EAC562B7E55A25538410264C084"/>
        <xdr:cNvSpPr>
          <a:spLocks noChangeAspect="1" noChangeArrowheads="1"/>
        </xdr:cNvSpPr>
      </xdr:nvSpPr>
      <xdr:spPr bwMode="auto">
        <a:xfrm>
          <a:off x="0" y="12016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11" name="AutoShape 8" descr="http://dmp.truoptik.com/tr.gif?ak=0810d65f&amp;dm=www.mrexcel.com&amp;fck=3A051EAC562B7E55A25538410264C084"/>
        <xdr:cNvSpPr>
          <a:spLocks noChangeAspect="1" noChangeArrowheads="1"/>
        </xdr:cNvSpPr>
      </xdr:nvSpPr>
      <xdr:spPr bwMode="auto">
        <a:xfrm>
          <a:off x="314325" y="12016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12" name="AutoShape 7" descr="http://dmp.truoptik.com/tr.gif?ak=0810d65f&amp;dm=www.mrexcel.com&amp;fck=3A051EAC562B7E55A25538410264C084"/>
        <xdr:cNvSpPr>
          <a:spLocks noChangeAspect="1" noChangeArrowheads="1"/>
        </xdr:cNvSpPr>
      </xdr:nvSpPr>
      <xdr:spPr bwMode="auto">
        <a:xfrm>
          <a:off x="0" y="12016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44</xdr:row>
      <xdr:rowOff>0</xdr:rowOff>
    </xdr:from>
    <xdr:ext cx="304800" cy="304800"/>
    <xdr:sp macro="" textlink="">
      <xdr:nvSpPr>
        <xdr:cNvPr id="13" name="AutoShape 8" descr="http://dmp.truoptik.com/tr.gif?ak=0810d65f&amp;dm=www.mrexcel.com&amp;fck=3A051EAC562B7E55A25538410264C084"/>
        <xdr:cNvSpPr>
          <a:spLocks noChangeAspect="1" noChangeArrowheads="1"/>
        </xdr:cNvSpPr>
      </xdr:nvSpPr>
      <xdr:spPr bwMode="auto">
        <a:xfrm>
          <a:off x="314325" y="12016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14" name="AutoShape 7" descr="http://dmp.truoptik.com/tr.gif?ak=0810d65f&amp;dm=www.mrexcel.com&amp;fck=3A051EAC562B7E55A25538410264C084"/>
        <xdr:cNvSpPr>
          <a:spLocks noChangeAspect="1" noChangeArrowheads="1"/>
        </xdr:cNvSpPr>
      </xdr:nvSpPr>
      <xdr:spPr bwMode="auto">
        <a:xfrm>
          <a:off x="0" y="12184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15" name="AutoShape 8" descr="http://dmp.truoptik.com/tr.gif?ak=0810d65f&amp;dm=www.mrexcel.com&amp;fck=3A051EAC562B7E55A25538410264C084"/>
        <xdr:cNvSpPr>
          <a:spLocks noChangeAspect="1" noChangeArrowheads="1"/>
        </xdr:cNvSpPr>
      </xdr:nvSpPr>
      <xdr:spPr bwMode="auto">
        <a:xfrm>
          <a:off x="314325" y="12184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16" name="AutoShape 7" descr="http://dmp.truoptik.com/tr.gif?ak=0810d65f&amp;dm=www.mrexcel.com&amp;fck=3A051EAC562B7E55A25538410264C084"/>
        <xdr:cNvSpPr>
          <a:spLocks noChangeAspect="1" noChangeArrowheads="1"/>
        </xdr:cNvSpPr>
      </xdr:nvSpPr>
      <xdr:spPr bwMode="auto">
        <a:xfrm>
          <a:off x="0" y="12184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45</xdr:row>
      <xdr:rowOff>0</xdr:rowOff>
    </xdr:from>
    <xdr:ext cx="304800" cy="304800"/>
    <xdr:sp macro="" textlink="">
      <xdr:nvSpPr>
        <xdr:cNvPr id="17" name="AutoShape 8" descr="http://dmp.truoptik.com/tr.gif?ak=0810d65f&amp;dm=www.mrexcel.com&amp;fck=3A051EAC562B7E55A25538410264C084"/>
        <xdr:cNvSpPr>
          <a:spLocks noChangeAspect="1" noChangeArrowheads="1"/>
        </xdr:cNvSpPr>
      </xdr:nvSpPr>
      <xdr:spPr bwMode="auto">
        <a:xfrm>
          <a:off x="314325" y="12184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18" name="AutoShape 7" descr="http://dmp.truoptik.com/tr.gif?ak=0810d65f&amp;dm=www.mrexcel.com&amp;fck=3A051EAC562B7E55A25538410264C084"/>
        <xdr:cNvSpPr>
          <a:spLocks noChangeAspect="1" noChangeArrowheads="1"/>
        </xdr:cNvSpPr>
      </xdr:nvSpPr>
      <xdr:spPr bwMode="auto">
        <a:xfrm>
          <a:off x="0" y="12352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19" name="AutoShape 8" descr="http://dmp.truoptik.com/tr.gif?ak=0810d65f&amp;dm=www.mrexcel.com&amp;fck=3A051EAC562B7E55A25538410264C084"/>
        <xdr:cNvSpPr>
          <a:spLocks noChangeAspect="1" noChangeArrowheads="1"/>
        </xdr:cNvSpPr>
      </xdr:nvSpPr>
      <xdr:spPr bwMode="auto">
        <a:xfrm>
          <a:off x="314325" y="12352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20" name="AutoShape 7" descr="http://dmp.truoptik.com/tr.gif?ak=0810d65f&amp;dm=www.mrexcel.com&amp;fck=3A051EAC562B7E55A25538410264C084"/>
        <xdr:cNvSpPr>
          <a:spLocks noChangeAspect="1" noChangeArrowheads="1"/>
        </xdr:cNvSpPr>
      </xdr:nvSpPr>
      <xdr:spPr bwMode="auto">
        <a:xfrm>
          <a:off x="0" y="12352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46</xdr:row>
      <xdr:rowOff>0</xdr:rowOff>
    </xdr:from>
    <xdr:ext cx="304800" cy="304800"/>
    <xdr:sp macro="" textlink="">
      <xdr:nvSpPr>
        <xdr:cNvPr id="21" name="AutoShape 8" descr="http://dmp.truoptik.com/tr.gif?ak=0810d65f&amp;dm=www.mrexcel.com&amp;fck=3A051EAC562B7E55A25538410264C084"/>
        <xdr:cNvSpPr>
          <a:spLocks noChangeAspect="1" noChangeArrowheads="1"/>
        </xdr:cNvSpPr>
      </xdr:nvSpPr>
      <xdr:spPr bwMode="auto">
        <a:xfrm>
          <a:off x="314325" y="12352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22" name="AutoShape 7" descr="http://dmp.truoptik.com/tr.gif?ak=0810d65f&amp;dm=www.mrexcel.com&amp;fck=3A051EAC562B7E55A25538410264C084"/>
        <xdr:cNvSpPr>
          <a:spLocks noChangeAspect="1" noChangeArrowheads="1"/>
        </xdr:cNvSpPr>
      </xdr:nvSpPr>
      <xdr:spPr bwMode="auto">
        <a:xfrm>
          <a:off x="0" y="12519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23" name="AutoShape 8" descr="http://dmp.truoptik.com/tr.gif?ak=0810d65f&amp;dm=www.mrexcel.com&amp;fck=3A051EAC562B7E55A25538410264C084"/>
        <xdr:cNvSpPr>
          <a:spLocks noChangeAspect="1" noChangeArrowheads="1"/>
        </xdr:cNvSpPr>
      </xdr:nvSpPr>
      <xdr:spPr bwMode="auto">
        <a:xfrm>
          <a:off x="314325" y="12519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24" name="AutoShape 7" descr="http://dmp.truoptik.com/tr.gif?ak=0810d65f&amp;dm=www.mrexcel.com&amp;fck=3A051EAC562B7E55A25538410264C084"/>
        <xdr:cNvSpPr>
          <a:spLocks noChangeAspect="1" noChangeArrowheads="1"/>
        </xdr:cNvSpPr>
      </xdr:nvSpPr>
      <xdr:spPr bwMode="auto">
        <a:xfrm>
          <a:off x="0" y="12519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25" name="AutoShape 8" descr="http://dmp.truoptik.com/tr.gif?ak=0810d65f&amp;dm=www.mrexcel.com&amp;fck=3A051EAC562B7E55A25538410264C084"/>
        <xdr:cNvSpPr>
          <a:spLocks noChangeAspect="1" noChangeArrowheads="1"/>
        </xdr:cNvSpPr>
      </xdr:nvSpPr>
      <xdr:spPr bwMode="auto">
        <a:xfrm>
          <a:off x="314325" y="12519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26" name="AutoShape 7" descr="http://dmp.truoptik.com/tr.gif?ak=0810d65f&amp;dm=www.mrexcel.com&amp;fck=3A051EAC562B7E55A25538410264C084"/>
        <xdr:cNvSpPr>
          <a:spLocks noChangeAspect="1" noChangeArrowheads="1"/>
        </xdr:cNvSpPr>
      </xdr:nvSpPr>
      <xdr:spPr bwMode="auto">
        <a:xfrm>
          <a:off x="0" y="1268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27" name="AutoShape 8" descr="http://dmp.truoptik.com/tr.gif?ak=0810d65f&amp;dm=www.mrexcel.com&amp;fck=3A051EAC562B7E55A25538410264C084"/>
        <xdr:cNvSpPr>
          <a:spLocks noChangeAspect="1" noChangeArrowheads="1"/>
        </xdr:cNvSpPr>
      </xdr:nvSpPr>
      <xdr:spPr bwMode="auto">
        <a:xfrm>
          <a:off x="314325" y="1268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28" name="AutoShape 7" descr="http://dmp.truoptik.com/tr.gif?ak=0810d65f&amp;dm=www.mrexcel.com&amp;fck=3A051EAC562B7E55A25538410264C084"/>
        <xdr:cNvSpPr>
          <a:spLocks noChangeAspect="1" noChangeArrowheads="1"/>
        </xdr:cNvSpPr>
      </xdr:nvSpPr>
      <xdr:spPr bwMode="auto">
        <a:xfrm>
          <a:off x="0" y="1268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29" name="AutoShape 8" descr="http://dmp.truoptik.com/tr.gif?ak=0810d65f&amp;dm=www.mrexcel.com&amp;fck=3A051EAC562B7E55A25538410264C084"/>
        <xdr:cNvSpPr>
          <a:spLocks noChangeAspect="1" noChangeArrowheads="1"/>
        </xdr:cNvSpPr>
      </xdr:nvSpPr>
      <xdr:spPr bwMode="auto">
        <a:xfrm>
          <a:off x="314325" y="1268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30" name="AutoShape 7" descr="http://dmp.truoptik.com/tr.gif?ak=0810d65f&amp;dm=www.mrexcel.com&amp;fck=3A051EAC562B7E55A25538410264C084"/>
        <xdr:cNvSpPr>
          <a:spLocks noChangeAspect="1" noChangeArrowheads="1"/>
        </xdr:cNvSpPr>
      </xdr:nvSpPr>
      <xdr:spPr bwMode="auto">
        <a:xfrm>
          <a:off x="0" y="12854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31" name="AutoShape 8" descr="http://dmp.truoptik.com/tr.gif?ak=0810d65f&amp;dm=www.mrexcel.com&amp;fck=3A051EAC562B7E55A25538410264C084"/>
        <xdr:cNvSpPr>
          <a:spLocks noChangeAspect="1" noChangeArrowheads="1"/>
        </xdr:cNvSpPr>
      </xdr:nvSpPr>
      <xdr:spPr bwMode="auto">
        <a:xfrm>
          <a:off x="314325" y="12854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32" name="AutoShape 7" descr="http://dmp.truoptik.com/tr.gif?ak=0810d65f&amp;dm=www.mrexcel.com&amp;fck=3A051EAC562B7E55A25538410264C084"/>
        <xdr:cNvSpPr>
          <a:spLocks noChangeAspect="1" noChangeArrowheads="1"/>
        </xdr:cNvSpPr>
      </xdr:nvSpPr>
      <xdr:spPr bwMode="auto">
        <a:xfrm>
          <a:off x="0" y="12854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49</xdr:row>
      <xdr:rowOff>0</xdr:rowOff>
    </xdr:from>
    <xdr:ext cx="304800" cy="304800"/>
    <xdr:sp macro="" textlink="">
      <xdr:nvSpPr>
        <xdr:cNvPr id="33" name="AutoShape 8" descr="http://dmp.truoptik.com/tr.gif?ak=0810d65f&amp;dm=www.mrexcel.com&amp;fck=3A051EAC562B7E55A25538410264C084"/>
        <xdr:cNvSpPr>
          <a:spLocks noChangeAspect="1" noChangeArrowheads="1"/>
        </xdr:cNvSpPr>
      </xdr:nvSpPr>
      <xdr:spPr bwMode="auto">
        <a:xfrm>
          <a:off x="314325" y="12854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34" name="AutoShape 7" descr="http://dmp.truoptik.com/tr.gif?ak=0810d65f&amp;dm=www.mrexcel.com&amp;fck=3A051EAC562B7E55A25538410264C084"/>
        <xdr:cNvSpPr>
          <a:spLocks noChangeAspect="1" noChangeArrowheads="1"/>
        </xdr:cNvSpPr>
      </xdr:nvSpPr>
      <xdr:spPr bwMode="auto">
        <a:xfrm>
          <a:off x="0" y="13022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35" name="AutoShape 8" descr="http://dmp.truoptik.com/tr.gif?ak=0810d65f&amp;dm=www.mrexcel.com&amp;fck=3A051EAC562B7E55A25538410264C084"/>
        <xdr:cNvSpPr>
          <a:spLocks noChangeAspect="1" noChangeArrowheads="1"/>
        </xdr:cNvSpPr>
      </xdr:nvSpPr>
      <xdr:spPr bwMode="auto">
        <a:xfrm>
          <a:off x="314325" y="13022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36" name="AutoShape 7" descr="http://dmp.truoptik.com/tr.gif?ak=0810d65f&amp;dm=www.mrexcel.com&amp;fck=3A051EAC562B7E55A25538410264C084"/>
        <xdr:cNvSpPr>
          <a:spLocks noChangeAspect="1" noChangeArrowheads="1"/>
        </xdr:cNvSpPr>
      </xdr:nvSpPr>
      <xdr:spPr bwMode="auto">
        <a:xfrm>
          <a:off x="0" y="13022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50</xdr:row>
      <xdr:rowOff>0</xdr:rowOff>
    </xdr:from>
    <xdr:ext cx="304800" cy="304800"/>
    <xdr:sp macro="" textlink="">
      <xdr:nvSpPr>
        <xdr:cNvPr id="37" name="AutoShape 8" descr="http://dmp.truoptik.com/tr.gif?ak=0810d65f&amp;dm=www.mrexcel.com&amp;fck=3A051EAC562B7E55A25538410264C084"/>
        <xdr:cNvSpPr>
          <a:spLocks noChangeAspect="1" noChangeArrowheads="1"/>
        </xdr:cNvSpPr>
      </xdr:nvSpPr>
      <xdr:spPr bwMode="auto">
        <a:xfrm>
          <a:off x="314325" y="13022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38" name="AutoShape 7" descr="http://dmp.truoptik.com/tr.gif?ak=0810d65f&amp;dm=www.mrexcel.com&amp;fck=3A051EAC562B7E55A25538410264C084"/>
        <xdr:cNvSpPr>
          <a:spLocks noChangeAspect="1" noChangeArrowheads="1"/>
        </xdr:cNvSpPr>
      </xdr:nvSpPr>
      <xdr:spPr bwMode="auto">
        <a:xfrm>
          <a:off x="0" y="13190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39" name="AutoShape 8" descr="http://dmp.truoptik.com/tr.gif?ak=0810d65f&amp;dm=www.mrexcel.com&amp;fck=3A051EAC562B7E55A25538410264C084"/>
        <xdr:cNvSpPr>
          <a:spLocks noChangeAspect="1" noChangeArrowheads="1"/>
        </xdr:cNvSpPr>
      </xdr:nvSpPr>
      <xdr:spPr bwMode="auto">
        <a:xfrm>
          <a:off x="314325" y="13190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40" name="AutoShape 7" descr="http://dmp.truoptik.com/tr.gif?ak=0810d65f&amp;dm=www.mrexcel.com&amp;fck=3A051EAC562B7E55A25538410264C084"/>
        <xdr:cNvSpPr>
          <a:spLocks noChangeAspect="1" noChangeArrowheads="1"/>
        </xdr:cNvSpPr>
      </xdr:nvSpPr>
      <xdr:spPr bwMode="auto">
        <a:xfrm>
          <a:off x="0" y="13190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41" name="AutoShape 8" descr="http://dmp.truoptik.com/tr.gif?ak=0810d65f&amp;dm=www.mrexcel.com&amp;fck=3A051EAC562B7E55A25538410264C084"/>
        <xdr:cNvSpPr>
          <a:spLocks noChangeAspect="1" noChangeArrowheads="1"/>
        </xdr:cNvSpPr>
      </xdr:nvSpPr>
      <xdr:spPr bwMode="auto">
        <a:xfrm>
          <a:off x="314325" y="13190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42" name="AutoShape 7" descr="http://dmp.truoptik.com/tr.gif?ak=0810d65f&amp;dm=www.mrexcel.com&amp;fck=3A051EAC562B7E55A25538410264C084"/>
        <xdr:cNvSpPr>
          <a:spLocks noChangeAspect="1" noChangeArrowheads="1"/>
        </xdr:cNvSpPr>
      </xdr:nvSpPr>
      <xdr:spPr bwMode="auto">
        <a:xfrm>
          <a:off x="0" y="13357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43" name="AutoShape 8" descr="http://dmp.truoptik.com/tr.gif?ak=0810d65f&amp;dm=www.mrexcel.com&amp;fck=3A051EAC562B7E55A25538410264C084"/>
        <xdr:cNvSpPr>
          <a:spLocks noChangeAspect="1" noChangeArrowheads="1"/>
        </xdr:cNvSpPr>
      </xdr:nvSpPr>
      <xdr:spPr bwMode="auto">
        <a:xfrm>
          <a:off x="314325" y="13357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44" name="AutoShape 7" descr="http://dmp.truoptik.com/tr.gif?ak=0810d65f&amp;dm=www.mrexcel.com&amp;fck=3A051EAC562B7E55A25538410264C084"/>
        <xdr:cNvSpPr>
          <a:spLocks noChangeAspect="1" noChangeArrowheads="1"/>
        </xdr:cNvSpPr>
      </xdr:nvSpPr>
      <xdr:spPr bwMode="auto">
        <a:xfrm>
          <a:off x="0" y="13357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45" name="AutoShape 8" descr="http://dmp.truoptik.com/tr.gif?ak=0810d65f&amp;dm=www.mrexcel.com&amp;fck=3A051EAC562B7E55A25538410264C084"/>
        <xdr:cNvSpPr>
          <a:spLocks noChangeAspect="1" noChangeArrowheads="1"/>
        </xdr:cNvSpPr>
      </xdr:nvSpPr>
      <xdr:spPr bwMode="auto">
        <a:xfrm>
          <a:off x="314325" y="13357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46" name="AutoShape 7" descr="http://dmp.truoptik.com/tr.gif?ak=0810d65f&amp;dm=www.mrexcel.com&amp;fck=3A051EAC562B7E55A25538410264C084"/>
        <xdr:cNvSpPr>
          <a:spLocks noChangeAspect="1" noChangeArrowheads="1"/>
        </xdr:cNvSpPr>
      </xdr:nvSpPr>
      <xdr:spPr bwMode="auto">
        <a:xfrm>
          <a:off x="0" y="1352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47" name="AutoShape 8" descr="http://dmp.truoptik.com/tr.gif?ak=0810d65f&amp;dm=www.mrexcel.com&amp;fck=3A051EAC562B7E55A25538410264C084"/>
        <xdr:cNvSpPr>
          <a:spLocks noChangeAspect="1" noChangeArrowheads="1"/>
        </xdr:cNvSpPr>
      </xdr:nvSpPr>
      <xdr:spPr bwMode="auto">
        <a:xfrm>
          <a:off x="314325" y="1352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48" name="AutoShape 7" descr="http://dmp.truoptik.com/tr.gif?ak=0810d65f&amp;dm=www.mrexcel.com&amp;fck=3A051EAC562B7E55A25538410264C084"/>
        <xdr:cNvSpPr>
          <a:spLocks noChangeAspect="1" noChangeArrowheads="1"/>
        </xdr:cNvSpPr>
      </xdr:nvSpPr>
      <xdr:spPr bwMode="auto">
        <a:xfrm>
          <a:off x="0" y="1352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53</xdr:row>
      <xdr:rowOff>0</xdr:rowOff>
    </xdr:from>
    <xdr:ext cx="304800" cy="304800"/>
    <xdr:sp macro="" textlink="">
      <xdr:nvSpPr>
        <xdr:cNvPr id="49" name="AutoShape 8" descr="http://dmp.truoptik.com/tr.gif?ak=0810d65f&amp;dm=www.mrexcel.com&amp;fck=3A051EAC562B7E55A25538410264C084"/>
        <xdr:cNvSpPr>
          <a:spLocks noChangeAspect="1" noChangeArrowheads="1"/>
        </xdr:cNvSpPr>
      </xdr:nvSpPr>
      <xdr:spPr bwMode="auto">
        <a:xfrm>
          <a:off x="314325" y="1352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50" name="AutoShape 7" descr="http://dmp.truoptik.com/tr.gif?ak=0810d65f&amp;dm=www.mrexcel.com&amp;fck=3A051EAC562B7E55A25538410264C084"/>
        <xdr:cNvSpPr>
          <a:spLocks noChangeAspect="1" noChangeArrowheads="1"/>
        </xdr:cNvSpPr>
      </xdr:nvSpPr>
      <xdr:spPr bwMode="auto">
        <a:xfrm>
          <a:off x="0" y="13693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51" name="AutoShape 8" descr="http://dmp.truoptik.com/tr.gif?ak=0810d65f&amp;dm=www.mrexcel.com&amp;fck=3A051EAC562B7E55A25538410264C084"/>
        <xdr:cNvSpPr>
          <a:spLocks noChangeAspect="1" noChangeArrowheads="1"/>
        </xdr:cNvSpPr>
      </xdr:nvSpPr>
      <xdr:spPr bwMode="auto">
        <a:xfrm>
          <a:off x="314325" y="13693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52" name="AutoShape 7" descr="http://dmp.truoptik.com/tr.gif?ak=0810d65f&amp;dm=www.mrexcel.com&amp;fck=3A051EAC562B7E55A25538410264C084"/>
        <xdr:cNvSpPr>
          <a:spLocks noChangeAspect="1" noChangeArrowheads="1"/>
        </xdr:cNvSpPr>
      </xdr:nvSpPr>
      <xdr:spPr bwMode="auto">
        <a:xfrm>
          <a:off x="0" y="13693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54</xdr:row>
      <xdr:rowOff>0</xdr:rowOff>
    </xdr:from>
    <xdr:ext cx="304800" cy="304800"/>
    <xdr:sp macro="" textlink="">
      <xdr:nvSpPr>
        <xdr:cNvPr id="53" name="AutoShape 8" descr="http://dmp.truoptik.com/tr.gif?ak=0810d65f&amp;dm=www.mrexcel.com&amp;fck=3A051EAC562B7E55A25538410264C084"/>
        <xdr:cNvSpPr>
          <a:spLocks noChangeAspect="1" noChangeArrowheads="1"/>
        </xdr:cNvSpPr>
      </xdr:nvSpPr>
      <xdr:spPr bwMode="auto">
        <a:xfrm>
          <a:off x="314325" y="13693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54" name="AutoShape 7" descr="http://dmp.truoptik.com/tr.gif?ak=0810d65f&amp;dm=www.mrexcel.com&amp;fck=3A051EAC562B7E55A25538410264C084"/>
        <xdr:cNvSpPr>
          <a:spLocks noChangeAspect="1" noChangeArrowheads="1"/>
        </xdr:cNvSpPr>
      </xdr:nvSpPr>
      <xdr:spPr bwMode="auto">
        <a:xfrm>
          <a:off x="0" y="13860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55" name="AutoShape 8" descr="http://dmp.truoptik.com/tr.gif?ak=0810d65f&amp;dm=www.mrexcel.com&amp;fck=3A051EAC562B7E55A25538410264C084"/>
        <xdr:cNvSpPr>
          <a:spLocks noChangeAspect="1" noChangeArrowheads="1"/>
        </xdr:cNvSpPr>
      </xdr:nvSpPr>
      <xdr:spPr bwMode="auto">
        <a:xfrm>
          <a:off x="314325" y="13860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56" name="AutoShape 7" descr="http://dmp.truoptik.com/tr.gif?ak=0810d65f&amp;dm=www.mrexcel.com&amp;fck=3A051EAC562B7E55A25538410264C084"/>
        <xdr:cNvSpPr>
          <a:spLocks noChangeAspect="1" noChangeArrowheads="1"/>
        </xdr:cNvSpPr>
      </xdr:nvSpPr>
      <xdr:spPr bwMode="auto">
        <a:xfrm>
          <a:off x="0" y="13860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55</xdr:row>
      <xdr:rowOff>0</xdr:rowOff>
    </xdr:from>
    <xdr:ext cx="304800" cy="304800"/>
    <xdr:sp macro="" textlink="">
      <xdr:nvSpPr>
        <xdr:cNvPr id="57" name="AutoShape 8" descr="http://dmp.truoptik.com/tr.gif?ak=0810d65f&amp;dm=www.mrexcel.com&amp;fck=3A051EAC562B7E55A25538410264C084"/>
        <xdr:cNvSpPr>
          <a:spLocks noChangeAspect="1" noChangeArrowheads="1"/>
        </xdr:cNvSpPr>
      </xdr:nvSpPr>
      <xdr:spPr bwMode="auto">
        <a:xfrm>
          <a:off x="314325" y="13860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58" name="AutoShape 7" descr="http://dmp.truoptik.com/tr.gif?ak=0810d65f&amp;dm=www.mrexcel.com&amp;fck=3A051EAC562B7E55A25538410264C084"/>
        <xdr:cNvSpPr>
          <a:spLocks noChangeAspect="1" noChangeArrowheads="1"/>
        </xdr:cNvSpPr>
      </xdr:nvSpPr>
      <xdr:spPr bwMode="auto">
        <a:xfrm>
          <a:off x="0" y="14028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59" name="AutoShape 8" descr="http://dmp.truoptik.com/tr.gif?ak=0810d65f&amp;dm=www.mrexcel.com&amp;fck=3A051EAC562B7E55A25538410264C084"/>
        <xdr:cNvSpPr>
          <a:spLocks noChangeAspect="1" noChangeArrowheads="1"/>
        </xdr:cNvSpPr>
      </xdr:nvSpPr>
      <xdr:spPr bwMode="auto">
        <a:xfrm>
          <a:off x="314325" y="14028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60" name="AutoShape 7" descr="http://dmp.truoptik.com/tr.gif?ak=0810d65f&amp;dm=www.mrexcel.com&amp;fck=3A051EAC562B7E55A25538410264C084"/>
        <xdr:cNvSpPr>
          <a:spLocks noChangeAspect="1" noChangeArrowheads="1"/>
        </xdr:cNvSpPr>
      </xdr:nvSpPr>
      <xdr:spPr bwMode="auto">
        <a:xfrm>
          <a:off x="0" y="14028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61" name="AutoShape 8" descr="http://dmp.truoptik.com/tr.gif?ak=0810d65f&amp;dm=www.mrexcel.com&amp;fck=3A051EAC562B7E55A25538410264C084"/>
        <xdr:cNvSpPr>
          <a:spLocks noChangeAspect="1" noChangeArrowheads="1"/>
        </xdr:cNvSpPr>
      </xdr:nvSpPr>
      <xdr:spPr bwMode="auto">
        <a:xfrm>
          <a:off x="314325" y="14028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62" name="AutoShape 7" descr="http://dmp.truoptik.com/tr.gif?ak=0810d65f&amp;dm=www.mrexcel.com&amp;fck=3A051EAC562B7E55A25538410264C084"/>
        <xdr:cNvSpPr>
          <a:spLocks noChangeAspect="1" noChangeArrowheads="1"/>
        </xdr:cNvSpPr>
      </xdr:nvSpPr>
      <xdr:spPr bwMode="auto">
        <a:xfrm>
          <a:off x="0" y="14196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63" name="AutoShape 8" descr="http://dmp.truoptik.com/tr.gif?ak=0810d65f&amp;dm=www.mrexcel.com&amp;fck=3A051EAC562B7E55A25538410264C084"/>
        <xdr:cNvSpPr>
          <a:spLocks noChangeAspect="1" noChangeArrowheads="1"/>
        </xdr:cNvSpPr>
      </xdr:nvSpPr>
      <xdr:spPr bwMode="auto">
        <a:xfrm>
          <a:off x="314325" y="14196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64" name="AutoShape 7" descr="http://dmp.truoptik.com/tr.gif?ak=0810d65f&amp;dm=www.mrexcel.com&amp;fck=3A051EAC562B7E55A25538410264C084"/>
        <xdr:cNvSpPr>
          <a:spLocks noChangeAspect="1" noChangeArrowheads="1"/>
        </xdr:cNvSpPr>
      </xdr:nvSpPr>
      <xdr:spPr bwMode="auto">
        <a:xfrm>
          <a:off x="0" y="14196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65" name="AutoShape 8" descr="http://dmp.truoptik.com/tr.gif?ak=0810d65f&amp;dm=www.mrexcel.com&amp;fck=3A051EAC562B7E55A25538410264C084"/>
        <xdr:cNvSpPr>
          <a:spLocks noChangeAspect="1" noChangeArrowheads="1"/>
        </xdr:cNvSpPr>
      </xdr:nvSpPr>
      <xdr:spPr bwMode="auto">
        <a:xfrm>
          <a:off x="314325" y="14196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66" name="AutoShape 7" descr="http://dmp.truoptik.com/tr.gif?ak=0810d65f&amp;dm=www.mrexcel.com&amp;fck=3A051EAC562B7E55A25538410264C084"/>
        <xdr:cNvSpPr>
          <a:spLocks noChangeAspect="1" noChangeArrowheads="1"/>
        </xdr:cNvSpPr>
      </xdr:nvSpPr>
      <xdr:spPr bwMode="auto">
        <a:xfrm>
          <a:off x="0" y="1436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67" name="AutoShape 8" descr="http://dmp.truoptik.com/tr.gif?ak=0810d65f&amp;dm=www.mrexcel.com&amp;fck=3A051EAC562B7E55A25538410264C084"/>
        <xdr:cNvSpPr>
          <a:spLocks noChangeAspect="1" noChangeArrowheads="1"/>
        </xdr:cNvSpPr>
      </xdr:nvSpPr>
      <xdr:spPr bwMode="auto">
        <a:xfrm>
          <a:off x="314325" y="1436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68" name="AutoShape 7" descr="http://dmp.truoptik.com/tr.gif?ak=0810d65f&amp;dm=www.mrexcel.com&amp;fck=3A051EAC562B7E55A25538410264C084"/>
        <xdr:cNvSpPr>
          <a:spLocks noChangeAspect="1" noChangeArrowheads="1"/>
        </xdr:cNvSpPr>
      </xdr:nvSpPr>
      <xdr:spPr bwMode="auto">
        <a:xfrm>
          <a:off x="0" y="1436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69" name="AutoShape 8" descr="http://dmp.truoptik.com/tr.gif?ak=0810d65f&amp;dm=www.mrexcel.com&amp;fck=3A051EAC562B7E55A25538410264C084"/>
        <xdr:cNvSpPr>
          <a:spLocks noChangeAspect="1" noChangeArrowheads="1"/>
        </xdr:cNvSpPr>
      </xdr:nvSpPr>
      <xdr:spPr bwMode="auto">
        <a:xfrm>
          <a:off x="314325" y="1436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70" name="AutoShape 7" descr="http://dmp.truoptik.com/tr.gif?ak=0810d65f&amp;dm=www.mrexcel.com&amp;fck=3A051EAC562B7E55A25538410264C084"/>
        <xdr:cNvSpPr>
          <a:spLocks noChangeAspect="1" noChangeArrowheads="1"/>
        </xdr:cNvSpPr>
      </xdr:nvSpPr>
      <xdr:spPr bwMode="auto">
        <a:xfrm>
          <a:off x="0" y="14531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71" name="AutoShape 8" descr="http://dmp.truoptik.com/tr.gif?ak=0810d65f&amp;dm=www.mrexcel.com&amp;fck=3A051EAC562B7E55A25538410264C084"/>
        <xdr:cNvSpPr>
          <a:spLocks noChangeAspect="1" noChangeArrowheads="1"/>
        </xdr:cNvSpPr>
      </xdr:nvSpPr>
      <xdr:spPr bwMode="auto">
        <a:xfrm>
          <a:off x="314325" y="14531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72" name="AutoShape 7" descr="http://dmp.truoptik.com/tr.gif?ak=0810d65f&amp;dm=www.mrexcel.com&amp;fck=3A051EAC562B7E55A25538410264C084"/>
        <xdr:cNvSpPr>
          <a:spLocks noChangeAspect="1" noChangeArrowheads="1"/>
        </xdr:cNvSpPr>
      </xdr:nvSpPr>
      <xdr:spPr bwMode="auto">
        <a:xfrm>
          <a:off x="0" y="14531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73" name="AutoShape 8" descr="http://dmp.truoptik.com/tr.gif?ak=0810d65f&amp;dm=www.mrexcel.com&amp;fck=3A051EAC562B7E55A25538410264C084"/>
        <xdr:cNvSpPr>
          <a:spLocks noChangeAspect="1" noChangeArrowheads="1"/>
        </xdr:cNvSpPr>
      </xdr:nvSpPr>
      <xdr:spPr bwMode="auto">
        <a:xfrm>
          <a:off x="314325" y="14531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74" name="AutoShape 7" descr="http://dmp.truoptik.com/tr.gif?ak=0810d65f&amp;dm=www.mrexcel.com&amp;fck=3A051EAC562B7E55A25538410264C084"/>
        <xdr:cNvSpPr>
          <a:spLocks noChangeAspect="1" noChangeArrowheads="1"/>
        </xdr:cNvSpPr>
      </xdr:nvSpPr>
      <xdr:spPr bwMode="auto">
        <a:xfrm>
          <a:off x="0" y="14698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75" name="AutoShape 8" descr="http://dmp.truoptik.com/tr.gif?ak=0810d65f&amp;dm=www.mrexcel.com&amp;fck=3A051EAC562B7E55A25538410264C084"/>
        <xdr:cNvSpPr>
          <a:spLocks noChangeAspect="1" noChangeArrowheads="1"/>
        </xdr:cNvSpPr>
      </xdr:nvSpPr>
      <xdr:spPr bwMode="auto">
        <a:xfrm>
          <a:off x="314325" y="14698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76" name="AutoShape 7" descr="http://dmp.truoptik.com/tr.gif?ak=0810d65f&amp;dm=www.mrexcel.com&amp;fck=3A051EAC562B7E55A25538410264C084"/>
        <xdr:cNvSpPr>
          <a:spLocks noChangeAspect="1" noChangeArrowheads="1"/>
        </xdr:cNvSpPr>
      </xdr:nvSpPr>
      <xdr:spPr bwMode="auto">
        <a:xfrm>
          <a:off x="0" y="14698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77" name="AutoShape 8" descr="http://dmp.truoptik.com/tr.gif?ak=0810d65f&amp;dm=www.mrexcel.com&amp;fck=3A051EAC562B7E55A25538410264C084"/>
        <xdr:cNvSpPr>
          <a:spLocks noChangeAspect="1" noChangeArrowheads="1"/>
        </xdr:cNvSpPr>
      </xdr:nvSpPr>
      <xdr:spPr bwMode="auto">
        <a:xfrm>
          <a:off x="314325" y="14698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78" name="AutoShape 7" descr="http://dmp.truoptik.com/tr.gif?ak=0810d65f&amp;dm=www.mrexcel.com&amp;fck=3A051EAC562B7E55A25538410264C084"/>
        <xdr:cNvSpPr>
          <a:spLocks noChangeAspect="1" noChangeArrowheads="1"/>
        </xdr:cNvSpPr>
      </xdr:nvSpPr>
      <xdr:spPr bwMode="auto">
        <a:xfrm>
          <a:off x="0" y="14866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79" name="AutoShape 8" descr="http://dmp.truoptik.com/tr.gif?ak=0810d65f&amp;dm=www.mrexcel.com&amp;fck=3A051EAC562B7E55A25538410264C084"/>
        <xdr:cNvSpPr>
          <a:spLocks noChangeAspect="1" noChangeArrowheads="1"/>
        </xdr:cNvSpPr>
      </xdr:nvSpPr>
      <xdr:spPr bwMode="auto">
        <a:xfrm>
          <a:off x="314325" y="14866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80" name="AutoShape 7" descr="http://dmp.truoptik.com/tr.gif?ak=0810d65f&amp;dm=www.mrexcel.com&amp;fck=3A051EAC562B7E55A25538410264C084"/>
        <xdr:cNvSpPr>
          <a:spLocks noChangeAspect="1" noChangeArrowheads="1"/>
        </xdr:cNvSpPr>
      </xdr:nvSpPr>
      <xdr:spPr bwMode="auto">
        <a:xfrm>
          <a:off x="0" y="14866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81" name="AutoShape 8" descr="http://dmp.truoptik.com/tr.gif?ak=0810d65f&amp;dm=www.mrexcel.com&amp;fck=3A051EAC562B7E55A25538410264C084"/>
        <xdr:cNvSpPr>
          <a:spLocks noChangeAspect="1" noChangeArrowheads="1"/>
        </xdr:cNvSpPr>
      </xdr:nvSpPr>
      <xdr:spPr bwMode="auto">
        <a:xfrm>
          <a:off x="314325" y="14866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82" name="AutoShape 7" descr="http://dmp.truoptik.com/tr.gif?ak=0810d65f&amp;dm=www.mrexcel.com&amp;fck=3A051EAC562B7E55A25538410264C084"/>
        <xdr:cNvSpPr>
          <a:spLocks noChangeAspect="1" noChangeArrowheads="1"/>
        </xdr:cNvSpPr>
      </xdr:nvSpPr>
      <xdr:spPr bwMode="auto">
        <a:xfrm>
          <a:off x="0" y="15034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83" name="AutoShape 8" descr="http://dmp.truoptik.com/tr.gif?ak=0810d65f&amp;dm=www.mrexcel.com&amp;fck=3A051EAC562B7E55A25538410264C084"/>
        <xdr:cNvSpPr>
          <a:spLocks noChangeAspect="1" noChangeArrowheads="1"/>
        </xdr:cNvSpPr>
      </xdr:nvSpPr>
      <xdr:spPr bwMode="auto">
        <a:xfrm>
          <a:off x="314325" y="15034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84" name="AutoShape 7" descr="http://dmp.truoptik.com/tr.gif?ak=0810d65f&amp;dm=www.mrexcel.com&amp;fck=3A051EAC562B7E55A25538410264C084"/>
        <xdr:cNvSpPr>
          <a:spLocks noChangeAspect="1" noChangeArrowheads="1"/>
        </xdr:cNvSpPr>
      </xdr:nvSpPr>
      <xdr:spPr bwMode="auto">
        <a:xfrm>
          <a:off x="0" y="15034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85" name="AutoShape 8" descr="http://dmp.truoptik.com/tr.gif?ak=0810d65f&amp;dm=www.mrexcel.com&amp;fck=3A051EAC562B7E55A25538410264C084"/>
        <xdr:cNvSpPr>
          <a:spLocks noChangeAspect="1" noChangeArrowheads="1"/>
        </xdr:cNvSpPr>
      </xdr:nvSpPr>
      <xdr:spPr bwMode="auto">
        <a:xfrm>
          <a:off x="314325" y="15034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86" name="AutoShape 7" descr="http://dmp.truoptik.com/tr.gif?ak=0810d65f&amp;dm=www.mrexcel.com&amp;fck=3A051EAC562B7E55A25538410264C084"/>
        <xdr:cNvSpPr>
          <a:spLocks noChangeAspect="1" noChangeArrowheads="1"/>
        </xdr:cNvSpPr>
      </xdr:nvSpPr>
      <xdr:spPr bwMode="auto">
        <a:xfrm>
          <a:off x="0" y="1520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87" name="AutoShape 8" descr="http://dmp.truoptik.com/tr.gif?ak=0810d65f&amp;dm=www.mrexcel.com&amp;fck=3A051EAC562B7E55A25538410264C084"/>
        <xdr:cNvSpPr>
          <a:spLocks noChangeAspect="1" noChangeArrowheads="1"/>
        </xdr:cNvSpPr>
      </xdr:nvSpPr>
      <xdr:spPr bwMode="auto">
        <a:xfrm>
          <a:off x="314325" y="1520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88" name="AutoShape 7" descr="http://dmp.truoptik.com/tr.gif?ak=0810d65f&amp;dm=www.mrexcel.com&amp;fck=3A051EAC562B7E55A25538410264C084"/>
        <xdr:cNvSpPr>
          <a:spLocks noChangeAspect="1" noChangeArrowheads="1"/>
        </xdr:cNvSpPr>
      </xdr:nvSpPr>
      <xdr:spPr bwMode="auto">
        <a:xfrm>
          <a:off x="0" y="1520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89" name="AutoShape 8" descr="http://dmp.truoptik.com/tr.gif?ak=0810d65f&amp;dm=www.mrexcel.com&amp;fck=3A051EAC562B7E55A25538410264C084"/>
        <xdr:cNvSpPr>
          <a:spLocks noChangeAspect="1" noChangeArrowheads="1"/>
        </xdr:cNvSpPr>
      </xdr:nvSpPr>
      <xdr:spPr bwMode="auto">
        <a:xfrm>
          <a:off x="314325" y="1520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90" name="AutoShape 7" descr="http://dmp.truoptik.com/tr.gif?ak=0810d65f&amp;dm=www.mrexcel.com&amp;fck=3A051EAC562B7E55A25538410264C084"/>
        <xdr:cNvSpPr>
          <a:spLocks noChangeAspect="1" noChangeArrowheads="1"/>
        </xdr:cNvSpPr>
      </xdr:nvSpPr>
      <xdr:spPr bwMode="auto">
        <a:xfrm>
          <a:off x="0" y="15369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91" name="AutoShape 8" descr="http://dmp.truoptik.com/tr.gif?ak=0810d65f&amp;dm=www.mrexcel.com&amp;fck=3A051EAC562B7E55A25538410264C084"/>
        <xdr:cNvSpPr>
          <a:spLocks noChangeAspect="1" noChangeArrowheads="1"/>
        </xdr:cNvSpPr>
      </xdr:nvSpPr>
      <xdr:spPr bwMode="auto">
        <a:xfrm>
          <a:off x="314325" y="15369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92" name="AutoShape 7" descr="http://dmp.truoptik.com/tr.gif?ak=0810d65f&amp;dm=www.mrexcel.com&amp;fck=3A051EAC562B7E55A25538410264C084"/>
        <xdr:cNvSpPr>
          <a:spLocks noChangeAspect="1" noChangeArrowheads="1"/>
        </xdr:cNvSpPr>
      </xdr:nvSpPr>
      <xdr:spPr bwMode="auto">
        <a:xfrm>
          <a:off x="0" y="15369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93" name="AutoShape 8" descr="http://dmp.truoptik.com/tr.gif?ak=0810d65f&amp;dm=www.mrexcel.com&amp;fck=3A051EAC562B7E55A25538410264C084"/>
        <xdr:cNvSpPr>
          <a:spLocks noChangeAspect="1" noChangeArrowheads="1"/>
        </xdr:cNvSpPr>
      </xdr:nvSpPr>
      <xdr:spPr bwMode="auto">
        <a:xfrm>
          <a:off x="314325" y="15369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94" name="AutoShape 7" descr="http://dmp.truoptik.com/tr.gif?ak=0810d65f&amp;dm=www.mrexcel.com&amp;fck=3A051EAC562B7E55A25538410264C084"/>
        <xdr:cNvSpPr>
          <a:spLocks noChangeAspect="1" noChangeArrowheads="1"/>
        </xdr:cNvSpPr>
      </xdr:nvSpPr>
      <xdr:spPr bwMode="auto">
        <a:xfrm>
          <a:off x="0" y="15537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56</xdr:row>
      <xdr:rowOff>0</xdr:rowOff>
    </xdr:from>
    <xdr:ext cx="304800" cy="304800"/>
    <xdr:sp macro="" textlink="">
      <xdr:nvSpPr>
        <xdr:cNvPr id="95" name="AutoShape 8" descr="http://dmp.truoptik.com/tr.gif?ak=0810d65f&amp;dm=www.mrexcel.com&amp;fck=3A051EAC562B7E55A25538410264C084"/>
        <xdr:cNvSpPr>
          <a:spLocks noChangeAspect="1" noChangeArrowheads="1"/>
        </xdr:cNvSpPr>
      </xdr:nvSpPr>
      <xdr:spPr bwMode="auto">
        <a:xfrm>
          <a:off x="314325" y="15537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96"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97"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98"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99"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00"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01"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02" name="AutoShape 7" descr="http://dmp.truoptik.com/tr.gif?ak=0810d65f&amp;dm=www.mrexcel.com&amp;fck=3A051EAC562B7E55A25538410264C084"/>
        <xdr:cNvSpPr>
          <a:spLocks noChangeAspect="1" noChangeArrowheads="1"/>
        </xdr:cNvSpPr>
      </xdr:nvSpPr>
      <xdr:spPr bwMode="auto">
        <a:xfrm>
          <a:off x="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03" name="AutoShape 8" descr="http://dmp.truoptik.com/tr.gif?ak=0810d65f&amp;dm=www.mrexcel.com&amp;fck=3A051EAC562B7E55A25538410264C084"/>
        <xdr:cNvSpPr>
          <a:spLocks noChangeAspect="1" noChangeArrowheads="1"/>
        </xdr:cNvSpPr>
      </xdr:nvSpPr>
      <xdr:spPr bwMode="auto">
        <a:xfrm>
          <a:off x="314325"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04"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05"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106" name="AutoShape 7" descr="http://dmp.truoptik.com/tr.gif?ak=0810d65f&amp;dm=www.mrexcel.com&amp;fck=3A051EAC562B7E55A25538410264C084"/>
        <xdr:cNvSpPr>
          <a:spLocks noChangeAspect="1" noChangeArrowheads="1"/>
        </xdr:cNvSpPr>
      </xdr:nvSpPr>
      <xdr:spPr bwMode="auto">
        <a:xfrm>
          <a:off x="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107" name="AutoShape 8" descr="http://dmp.truoptik.com/tr.gif?ak=0810d65f&amp;dm=www.mrexcel.com&amp;fck=3A051EAC562B7E55A25538410264C084"/>
        <xdr:cNvSpPr>
          <a:spLocks noChangeAspect="1" noChangeArrowheads="1"/>
        </xdr:cNvSpPr>
      </xdr:nvSpPr>
      <xdr:spPr bwMode="auto">
        <a:xfrm>
          <a:off x="314325"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08"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09"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10"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11"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12"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13"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14"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15"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16"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17"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18"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19"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20"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21"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22"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23"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24"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25"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26"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27"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28"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29"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30"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31"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32"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33"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34"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35"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36"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37"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38"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39"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40"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41"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42"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43"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44"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45"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46"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47"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48"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49"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50"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51"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52"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53"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54"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55"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56"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57"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58"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59"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60"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61"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62"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63"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64"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65"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66"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67"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68"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69"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70"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71"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72"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73"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74"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75"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76"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77"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78"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79"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180" name="AutoShape 7" descr="http://dmp.truoptik.com/tr.gif?ak=0810d65f&amp;dm=www.mrexcel.com&amp;fck=3A051EAC562B7E55A25538410264C084"/>
        <xdr:cNvSpPr>
          <a:spLocks noChangeAspect="1" noChangeArrowheads="1"/>
        </xdr:cNvSpPr>
      </xdr:nvSpPr>
      <xdr:spPr bwMode="auto">
        <a:xfrm>
          <a:off x="0"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181" name="AutoShape 8" descr="http://dmp.truoptik.com/tr.gif?ak=0810d65f&amp;dm=www.mrexcel.com&amp;fck=3A051EAC562B7E55A25538410264C084"/>
        <xdr:cNvSpPr>
          <a:spLocks noChangeAspect="1" noChangeArrowheads="1"/>
        </xdr:cNvSpPr>
      </xdr:nvSpPr>
      <xdr:spPr bwMode="auto">
        <a:xfrm>
          <a:off x="314325" y="116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82"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83"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84"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85"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86"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87"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88"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89"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90"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91"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92"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93"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94"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95"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96"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97"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198" name="AutoShape 7" descr="http://dmp.truoptik.com/tr.gif?ak=0810d65f&amp;dm=www.mrexcel.com&amp;fck=3A051EAC562B7E55A25538410264C084"/>
        <xdr:cNvSpPr>
          <a:spLocks noChangeAspect="1" noChangeArrowheads="1"/>
        </xdr:cNvSpPr>
      </xdr:nvSpPr>
      <xdr:spPr bwMode="auto">
        <a:xfrm>
          <a:off x="0"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199" name="AutoShape 8" descr="http://dmp.truoptik.com/tr.gif?ak=0810d65f&amp;dm=www.mrexcel.com&amp;fck=3A051EAC562B7E55A25538410264C084"/>
        <xdr:cNvSpPr>
          <a:spLocks noChangeAspect="1" noChangeArrowheads="1"/>
        </xdr:cNvSpPr>
      </xdr:nvSpPr>
      <xdr:spPr bwMode="auto">
        <a:xfrm>
          <a:off x="314325" y="1151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200" name="AutoShape 7" descr="http://dmp.truoptik.com/tr.gif?ak=0810d65f&amp;dm=www.mrexcel.com&amp;fck=3A051EAC562B7E55A25538410264C084"/>
        <xdr:cNvSpPr>
          <a:spLocks noChangeAspect="1" noChangeArrowheads="1"/>
        </xdr:cNvSpPr>
      </xdr:nvSpPr>
      <xdr:spPr bwMode="auto">
        <a:xfrm>
          <a:off x="0"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201" name="AutoShape 8" descr="http://dmp.truoptik.com/tr.gif?ak=0810d65f&amp;dm=www.mrexcel.com&amp;fck=3A051EAC562B7E55A25538410264C084"/>
        <xdr:cNvSpPr>
          <a:spLocks noChangeAspect="1" noChangeArrowheads="1"/>
        </xdr:cNvSpPr>
      </xdr:nvSpPr>
      <xdr:spPr bwMode="auto">
        <a:xfrm>
          <a:off x="314325"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202" name="AutoShape 7" descr="http://dmp.truoptik.com/tr.gif?ak=0810d65f&amp;dm=www.mrexcel.com&amp;fck=3A051EAC562B7E55A25538410264C084"/>
        <xdr:cNvSpPr>
          <a:spLocks noChangeAspect="1" noChangeArrowheads="1"/>
        </xdr:cNvSpPr>
      </xdr:nvSpPr>
      <xdr:spPr bwMode="auto">
        <a:xfrm>
          <a:off x="0" y="119426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203" name="AutoShape 8" descr="http://dmp.truoptik.com/tr.gif?ak=0810d65f&amp;dm=www.mrexcel.com&amp;fck=3A051EAC562B7E55A25538410264C084"/>
        <xdr:cNvSpPr>
          <a:spLocks noChangeAspect="1" noChangeArrowheads="1"/>
        </xdr:cNvSpPr>
      </xdr:nvSpPr>
      <xdr:spPr bwMode="auto">
        <a:xfrm>
          <a:off x="314325" y="119426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204" name="AutoShape 7" descr="http://dmp.truoptik.com/tr.gif?ak=0810d65f&amp;dm=www.mrexcel.com&amp;fck=3A051EAC562B7E55A25538410264C084"/>
        <xdr:cNvSpPr>
          <a:spLocks noChangeAspect="1" noChangeArrowheads="1"/>
        </xdr:cNvSpPr>
      </xdr:nvSpPr>
      <xdr:spPr bwMode="auto">
        <a:xfrm>
          <a:off x="0" y="119426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205" name="AutoShape 8" descr="http://dmp.truoptik.com/tr.gif?ak=0810d65f&amp;dm=www.mrexcel.com&amp;fck=3A051EAC562B7E55A25538410264C084"/>
        <xdr:cNvSpPr>
          <a:spLocks noChangeAspect="1" noChangeArrowheads="1"/>
        </xdr:cNvSpPr>
      </xdr:nvSpPr>
      <xdr:spPr bwMode="auto">
        <a:xfrm>
          <a:off x="314325" y="119426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206" name="AutoShape 7" descr="http://dmp.truoptik.com/tr.gif?ak=0810d65f&amp;dm=www.mrexcel.com&amp;fck=3A051EAC562B7E55A25538410264C084"/>
        <xdr:cNvSpPr>
          <a:spLocks noChangeAspect="1" noChangeArrowheads="1"/>
        </xdr:cNvSpPr>
      </xdr:nvSpPr>
      <xdr:spPr bwMode="auto">
        <a:xfrm>
          <a:off x="0"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207" name="AutoShape 8" descr="http://dmp.truoptik.com/tr.gif?ak=0810d65f&amp;dm=www.mrexcel.com&amp;fck=3A051EAC562B7E55A25538410264C084"/>
        <xdr:cNvSpPr>
          <a:spLocks noChangeAspect="1" noChangeArrowheads="1"/>
        </xdr:cNvSpPr>
      </xdr:nvSpPr>
      <xdr:spPr bwMode="auto">
        <a:xfrm>
          <a:off x="314325"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208" name="AutoShape 7" descr="http://dmp.truoptik.com/tr.gif?ak=0810d65f&amp;dm=www.mrexcel.com&amp;fck=3A051EAC562B7E55A25538410264C084"/>
        <xdr:cNvSpPr>
          <a:spLocks noChangeAspect="1" noChangeArrowheads="1"/>
        </xdr:cNvSpPr>
      </xdr:nvSpPr>
      <xdr:spPr bwMode="auto">
        <a:xfrm>
          <a:off x="0"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41</xdr:row>
      <xdr:rowOff>0</xdr:rowOff>
    </xdr:from>
    <xdr:ext cx="304800" cy="304800"/>
    <xdr:sp macro="" textlink="">
      <xdr:nvSpPr>
        <xdr:cNvPr id="209" name="AutoShape 8" descr="http://dmp.truoptik.com/tr.gif?ak=0810d65f&amp;dm=www.mrexcel.com&amp;fck=3A051EAC562B7E55A25538410264C084"/>
        <xdr:cNvSpPr>
          <a:spLocks noChangeAspect="1" noChangeArrowheads="1"/>
        </xdr:cNvSpPr>
      </xdr:nvSpPr>
      <xdr:spPr bwMode="auto">
        <a:xfrm>
          <a:off x="314325"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210" name="AutoShape 7" descr="http://dmp.truoptik.com/tr.gif?ak=0810d65f&amp;dm=www.mrexcel.com&amp;fck=3A051EAC562B7E55A25538410264C084"/>
        <xdr:cNvSpPr>
          <a:spLocks noChangeAspect="1" noChangeArrowheads="1"/>
        </xdr:cNvSpPr>
      </xdr:nvSpPr>
      <xdr:spPr bwMode="auto">
        <a:xfrm>
          <a:off x="0"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211" name="AutoShape 8" descr="http://dmp.truoptik.com/tr.gif?ak=0810d65f&amp;dm=www.mrexcel.com&amp;fck=3A051EAC562B7E55A25538410264C084"/>
        <xdr:cNvSpPr>
          <a:spLocks noChangeAspect="1" noChangeArrowheads="1"/>
        </xdr:cNvSpPr>
      </xdr:nvSpPr>
      <xdr:spPr bwMode="auto">
        <a:xfrm>
          <a:off x="314325"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212" name="AutoShape 7" descr="http://dmp.truoptik.com/tr.gif?ak=0810d65f&amp;dm=www.mrexcel.com&amp;fck=3A051EAC562B7E55A25538410264C084"/>
        <xdr:cNvSpPr>
          <a:spLocks noChangeAspect="1" noChangeArrowheads="1"/>
        </xdr:cNvSpPr>
      </xdr:nvSpPr>
      <xdr:spPr bwMode="auto">
        <a:xfrm>
          <a:off x="0" y="119426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213" name="AutoShape 8" descr="http://dmp.truoptik.com/tr.gif?ak=0810d65f&amp;dm=www.mrexcel.com&amp;fck=3A051EAC562B7E55A25538410264C084"/>
        <xdr:cNvSpPr>
          <a:spLocks noChangeAspect="1" noChangeArrowheads="1"/>
        </xdr:cNvSpPr>
      </xdr:nvSpPr>
      <xdr:spPr bwMode="auto">
        <a:xfrm>
          <a:off x="314325" y="119426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214" name="AutoShape 7" descr="http://dmp.truoptik.com/tr.gif?ak=0810d65f&amp;dm=www.mrexcel.com&amp;fck=3A051EAC562B7E55A25538410264C084"/>
        <xdr:cNvSpPr>
          <a:spLocks noChangeAspect="1" noChangeArrowheads="1"/>
        </xdr:cNvSpPr>
      </xdr:nvSpPr>
      <xdr:spPr bwMode="auto">
        <a:xfrm>
          <a:off x="0" y="119426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43</xdr:row>
      <xdr:rowOff>0</xdr:rowOff>
    </xdr:from>
    <xdr:ext cx="304800" cy="304800"/>
    <xdr:sp macro="" textlink="">
      <xdr:nvSpPr>
        <xdr:cNvPr id="215" name="AutoShape 8" descr="http://dmp.truoptik.com/tr.gif?ak=0810d65f&amp;dm=www.mrexcel.com&amp;fck=3A051EAC562B7E55A25538410264C084"/>
        <xdr:cNvSpPr>
          <a:spLocks noChangeAspect="1" noChangeArrowheads="1"/>
        </xdr:cNvSpPr>
      </xdr:nvSpPr>
      <xdr:spPr bwMode="auto">
        <a:xfrm>
          <a:off x="314325" y="119426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216" name="AutoShape 7" descr="http://dmp.truoptik.com/tr.gif?ak=0810d65f&amp;dm=www.mrexcel.com&amp;fck=3A051EAC562B7E55A25538410264C084"/>
        <xdr:cNvSpPr>
          <a:spLocks noChangeAspect="1" noChangeArrowheads="1"/>
        </xdr:cNvSpPr>
      </xdr:nvSpPr>
      <xdr:spPr bwMode="auto">
        <a:xfrm>
          <a:off x="0"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217" name="AutoShape 8" descr="http://dmp.truoptik.com/tr.gif?ak=0810d65f&amp;dm=www.mrexcel.com&amp;fck=3A051EAC562B7E55A25538410264C084"/>
        <xdr:cNvSpPr>
          <a:spLocks noChangeAspect="1" noChangeArrowheads="1"/>
        </xdr:cNvSpPr>
      </xdr:nvSpPr>
      <xdr:spPr bwMode="auto">
        <a:xfrm>
          <a:off x="314325"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218" name="AutoShape 7" descr="http://dmp.truoptik.com/tr.gif?ak=0810d65f&amp;dm=www.mrexcel.com&amp;fck=3A051EAC562B7E55A25538410264C084"/>
        <xdr:cNvSpPr>
          <a:spLocks noChangeAspect="1" noChangeArrowheads="1"/>
        </xdr:cNvSpPr>
      </xdr:nvSpPr>
      <xdr:spPr bwMode="auto">
        <a:xfrm>
          <a:off x="0"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42</xdr:row>
      <xdr:rowOff>0</xdr:rowOff>
    </xdr:from>
    <xdr:ext cx="304800" cy="304800"/>
    <xdr:sp macro="" textlink="">
      <xdr:nvSpPr>
        <xdr:cNvPr id="219" name="AutoShape 8" descr="http://dmp.truoptik.com/tr.gif?ak=0810d65f&amp;dm=www.mrexcel.com&amp;fck=3A051EAC562B7E55A25538410264C084"/>
        <xdr:cNvSpPr>
          <a:spLocks noChangeAspect="1" noChangeArrowheads="1"/>
        </xdr:cNvSpPr>
      </xdr:nvSpPr>
      <xdr:spPr bwMode="auto">
        <a:xfrm>
          <a:off x="314325" y="117763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ables/table1.xml><?xml version="1.0" encoding="utf-8"?>
<table xmlns="http://schemas.openxmlformats.org/spreadsheetml/2006/main" id="2" name="Budget_Revenue" displayName="Budget_Revenue" ref="A8:G19" totalsRowCount="1" headerRowDxfId="160" headerRowBorderDxfId="159" tableBorderDxfId="158" headerRowCellStyle="Currency">
  <autoFilter ref="A8:G18"/>
  <tableColumns count="7">
    <tableColumn id="1" name="REVENUE:" totalsRowLabel="Total Revenue :" dataDxfId="157" totalsRowDxfId="156"/>
    <tableColumn id="2" name="Prior Monthly" totalsRowFunction="sum" dataDxfId="155" totalsRowDxfId="154" dataCellStyle="Currency">
      <calculatedColumnFormula>IF(ISERROR(ROUND(Budget_Revenue[[#This Row],[Prior Annual]]/($F$1*12),2)),0,ROUND(Budget_Revenue[[#This Row],[Prior Annual]]/($F$1*12),2))</calculatedColumnFormula>
    </tableColumn>
    <tableColumn id="3" name="Prior Annual" totalsRowFunction="sum" dataDxfId="153" totalsRowDxfId="152" dataCellStyle="Currency"/>
    <tableColumn id="4" name="Prior Actual" totalsRowFunction="sum" dataDxfId="151" totalsRowDxfId="150" dataCellStyle="Currency"/>
    <tableColumn id="5" name="Current Monthly" totalsRowFunction="sum" dataDxfId="149" totalsRowDxfId="148" dataCellStyle="Currency">
      <calculatedColumnFormula>IF(ISERROR(ROUND(Budget_Revenue[[#This Row],[Current Annual]]/($F$1*12),2)),0,(ROUND(Budget_Revenue[[#This Row],[Current Annual]]/($F$1*12),2)))</calculatedColumnFormula>
    </tableColumn>
    <tableColumn id="6" name="Current Annual" totalsRowFunction="sum" dataDxfId="147" totalsRowDxfId="146" dataCellStyle="Currency"/>
    <tableColumn id="7" name="Monthly  Change" totalsRowFunction="sum" dataDxfId="145" totalsRowDxfId="144" dataCellStyle="Currency">
      <calculatedColumnFormula>SUM(Budget_Revenue[[#This Row],[Current Monthly]]-Budget_Revenue[[#This Row],[Prior Monthly]])</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3" name="Operation_Expenses" displayName="Operation_Expenses" ref="A23:G39" totalsRowCount="1" headerRowDxfId="143" tableBorderDxfId="142">
  <autoFilter ref="A23:G38"/>
  <tableColumns count="7">
    <tableColumn id="1" name="OPERATING EXPENSES:" totalsRowLabel="Subtotal Operating Expenses:" dataDxfId="141" totalsRowDxfId="140"/>
    <tableColumn id="2" name="Prior Monthly" totalsRowFunction="sum" dataDxfId="139" totalsRowDxfId="138" dataCellStyle="Currency">
      <calculatedColumnFormula>IF(ISERROR(ROUND(Operation_Expenses[[#This Row],[Prior Annual]]/($F$1*12),2)),0,ROUND(Operation_Expenses[[#This Row],[Prior Annual]]/($F$1*12),2))</calculatedColumnFormula>
    </tableColumn>
    <tableColumn id="3" name="Prior Annual" totalsRowFunction="sum" dataDxfId="137" totalsRowDxfId="136" dataCellStyle="Currency"/>
    <tableColumn id="4" name="Prior Actual" totalsRowFunction="sum" dataDxfId="135" totalsRowDxfId="134" dataCellStyle="Currency"/>
    <tableColumn id="5" name="Current Monthly" totalsRowFunction="sum" dataDxfId="133" totalsRowDxfId="132" dataCellStyle="Currency">
      <calculatedColumnFormula>IF(ISERROR(ROUND(Operation_Expenses[[#This Row],[Current Annual]]/($F$1*12),2)),0,(ROUND(Operation_Expenses[[#This Row],[Current Annual]]/($F$1*12),2)))</calculatedColumnFormula>
    </tableColumn>
    <tableColumn id="6" name="Current Annual" totalsRowFunction="sum" dataDxfId="131" totalsRowDxfId="130" dataCellStyle="Currency"/>
    <tableColumn id="7" name="Monthly Change" totalsRowFunction="sum" dataDxfId="129" totalsRowDxfId="128" dataCellStyle="Currency">
      <calculatedColumnFormula>SUM(Operation_Expenses[[#This Row],[Current Monthly]]-Operation_Expenses[[#This Row],[Prior Monthly]])</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4" name="Reserve_Expenses" displayName="Reserve_Expenses" ref="A42:G64" totalsRowCount="1" headerRowDxfId="127" totalsRowDxfId="124" headerRowBorderDxfId="126" tableBorderDxfId="125" headerRowCellStyle="Currency">
  <autoFilter ref="A42:G63"/>
  <tableColumns count="7">
    <tableColumn id="1" name="RESERVE EXPENSES:" totalsRowLabel="Subtotal Reserve Expenses:" dataDxfId="123" totalsRowDxfId="12"/>
    <tableColumn id="2" name="Prior Monthly" totalsRowFunction="sum" dataDxfId="122" totalsRowDxfId="121" dataCellStyle="Currency">
      <calculatedColumnFormula>IF(ISERROR(ROUND(Reserve_Expenses[[#This Row],[Prior Annual]]/($F$1*12),2)),0,(ROUND(Reserve_Expenses[[#This Row],[Prior Annual]]/($F$1*12),2)))</calculatedColumnFormula>
    </tableColumn>
    <tableColumn id="3" name="Prior Annual" totalsRowFunction="sum" dataDxfId="120" totalsRowDxfId="119" dataCellStyle="Currency"/>
    <tableColumn id="4" name="Prior Actual" totalsRowFunction="sum" dataDxfId="118" totalsRowDxfId="117" dataCellStyle="Currency"/>
    <tableColumn id="5" name="Current Monthly" totalsRowFunction="sum" dataDxfId="116" totalsRowDxfId="115" dataCellStyle="Currency">
      <calculatedColumnFormula>IF(ISERROR(ROUND(Reserve_Expenses[[#This Row],[Current Annual]]/($F$1*12),2)),0,(ROUND(Reserve_Expenses[[#This Row],[Current Annual]]/($F$1*12),2)))</calculatedColumnFormula>
    </tableColumn>
    <tableColumn id="6" name="Current Annual" totalsRowFunction="sum" dataDxfId="114" totalsRowDxfId="113" dataCellStyle="Currency"/>
    <tableColumn id="7" name="Monthly Change" totalsRowFunction="sum" dataDxfId="112" totalsRowDxfId="111" dataCellStyle="Currency">
      <calculatedColumnFormula>SUM(Reserve_Expenses[[#This Row],[Current Monthly]]-Reserve_Expenses[[#This Row],[Prior Monthly]])</calculatedColumnFormula>
    </tableColumn>
  </tableColumns>
  <tableStyleInfo name="TableStyleMedium2" showFirstColumn="0" showLastColumn="0" showRowStripes="1" showColumnStripes="0"/>
</table>
</file>

<file path=xl/tables/table4.xml><?xml version="1.0" encoding="utf-8"?>
<table xmlns="http://schemas.openxmlformats.org/spreadsheetml/2006/main" id="9" name="Budget_Revenue10" displayName="Budget_Revenue10" ref="A7:G18" totalsRowCount="1" headerRowDxfId="110" dataDxfId="108" totalsRowDxfId="106" headerRowBorderDxfId="109" tableBorderDxfId="107" headerRowCellStyle="Currency">
  <autoFilter ref="A7:G17"/>
  <tableColumns count="7">
    <tableColumn id="1" name="REVENUE:" totalsRowLabel="Total Revenue :" dataDxfId="105" totalsRowDxfId="104"/>
    <tableColumn id="2" name="Prior Monthly" totalsRowFunction="sum" dataDxfId="103" totalsRowDxfId="102" dataCellStyle="Currency">
      <calculatedColumnFormula>IF(ISERROR(ROUND(Budget_Revenue10[[#This Row],[Prior Annual]]/($F$1*12),2)),0,ROUND(Budget_Revenue10[[#This Row],[Prior Annual]]/($F$1*12),2))</calculatedColumnFormula>
    </tableColumn>
    <tableColumn id="3" name="Prior Annual" totalsRowFunction="sum" dataDxfId="101" totalsRowDxfId="100" dataCellStyle="Currency"/>
    <tableColumn id="4" name="Prior Actual" totalsRowFunction="sum" dataDxfId="99" totalsRowDxfId="98" dataCellStyle="Currency"/>
    <tableColumn id="5" name="Current Monthly" totalsRowFunction="sum" dataDxfId="97" totalsRowDxfId="96" dataCellStyle="Currency">
      <calculatedColumnFormula>IF(ISERROR(ROUND(Budget_Revenue10[[#This Row],[Current Annual]]/($F$1*12),2)),0,(ROUND(Budget_Revenue10[[#This Row],[Current Annual]]/($F$1*12),2)))</calculatedColumnFormula>
    </tableColumn>
    <tableColumn id="6" name="Current Annual" totalsRowFunction="sum" dataDxfId="95" totalsRowDxfId="94" dataCellStyle="Currency"/>
    <tableColumn id="7" name="Monthly  Change" totalsRowFunction="sum" dataDxfId="93" totalsRowDxfId="92" dataCellStyle="Currency">
      <calculatedColumnFormula>SUM(Budget_Revenue10[[#This Row],[Current Monthly]]-Budget_Revenue10[[#This Row],[Prior Monthly]])</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10" name="Operation_Expenses11" displayName="Operation_Expenses11" ref="A22:G38" totalsRowCount="1" headerRowDxfId="91" dataDxfId="90" totalsRowDxfId="88" tableBorderDxfId="89">
  <autoFilter ref="A22:G37"/>
  <tableColumns count="7">
    <tableColumn id="1" name="OPERATING EXPENSES:" totalsRowLabel="Subtotal Operating Expenses:" dataDxfId="87" totalsRowDxfId="86"/>
    <tableColumn id="2" name="Prior Monthly" totalsRowFunction="sum" dataDxfId="85" totalsRowDxfId="84" dataCellStyle="Currency">
      <calculatedColumnFormula>IF(ISERROR(ROUND(Operation_Expenses11[[#This Row],[Prior Annual]]/($F$1*12),2)),0,ROUND(Operation_Expenses11[[#This Row],[Prior Annual]]/($F$1*12),2))</calculatedColumnFormula>
    </tableColumn>
    <tableColumn id="3" name="Prior Annual" totalsRowFunction="sum" dataDxfId="83" totalsRowDxfId="82" dataCellStyle="Currency"/>
    <tableColumn id="4" name="Prior Actual" totalsRowFunction="sum" dataDxfId="81" totalsRowDxfId="80" dataCellStyle="Currency"/>
    <tableColumn id="5" name="Current Monthly" totalsRowFunction="custom" dataDxfId="79" totalsRowDxfId="78" dataCellStyle="Currency">
      <calculatedColumnFormula>IF(ISERROR(ROUND(Operation_Expenses11[[#This Row],[Current Annual]]/($F$1*12),2)),0,(ROUND(Operation_Expenses11[[#This Row],[Current Annual]]/($F$1*12),2)))</calculatedColumnFormula>
      <totalsRowFormula>SUBTOTAL(109,Operation_Expenses11[Prior Monthly])</totalsRowFormula>
    </tableColumn>
    <tableColumn id="6" name="Current Annual" totalsRowFunction="sum" dataDxfId="77" totalsRowDxfId="76" dataCellStyle="Currency"/>
    <tableColumn id="7" name="Monthly Change" totalsRowFunction="sum" dataDxfId="75" totalsRowDxfId="74" dataCellStyle="Currency">
      <calculatedColumnFormula>SUM(Operation_Expenses11[[#This Row],[Current Monthly]]-Operation_Expenses11[[#This Row],[Prior Monthly]])</calculatedColumnFormula>
    </tableColumn>
  </tableColumns>
  <tableStyleInfo name="TableStyleMedium2" showFirstColumn="0" showLastColumn="0" showRowStripes="1" showColumnStripes="0"/>
</table>
</file>

<file path=xl/tables/table6.xml><?xml version="1.0" encoding="utf-8"?>
<table xmlns="http://schemas.openxmlformats.org/spreadsheetml/2006/main" id="11" name="Reserve_Expenses12" displayName="Reserve_Expenses12" ref="A41:G57" totalsRowCount="1" headerRowDxfId="73" dataDxfId="71" totalsRowDxfId="69" headerRowBorderDxfId="72" tableBorderDxfId="70" headerRowCellStyle="Currency">
  <autoFilter ref="A41:G56"/>
  <tableColumns count="7">
    <tableColumn id="1" name="RESERVE EXPENSES:" totalsRowLabel="Subtotal Reserve Expenses:" dataDxfId="68" totalsRowDxfId="67"/>
    <tableColumn id="2" name="Prior Monthly" totalsRowFunction="sum" dataDxfId="66" totalsRowDxfId="65" dataCellStyle="Currency">
      <calculatedColumnFormula>IF(ISERROR(ROUND(Reserve_Expenses12[[#This Row],[Prior Annual]]/($F$1*12),2)),0,(ROUND(Reserve_Expenses12[[#This Row],[Prior Annual]]/($F$1*12),2)))</calculatedColumnFormula>
    </tableColumn>
    <tableColumn id="3" name="Prior Annual" totalsRowFunction="sum" dataDxfId="64" totalsRowDxfId="63" dataCellStyle="Currency"/>
    <tableColumn id="4" name="Prior Actual" totalsRowFunction="sum" dataDxfId="62" totalsRowDxfId="61" dataCellStyle="Currency"/>
    <tableColumn id="5" name="Current Monthly" totalsRowFunction="sum" dataDxfId="60" totalsRowDxfId="59" dataCellStyle="Currency">
      <calculatedColumnFormula>IF(ISERROR(ROUND(Reserve_Expenses12[[#This Row],[Current Annual]]/($F$1*12),2)),0,(ROUND(Reserve_Expenses12[[#This Row],[Current Annual]]/($F$1*12),2)))</calculatedColumnFormula>
    </tableColumn>
    <tableColumn id="6" name="Current Annual" totalsRowFunction="sum" dataDxfId="58" totalsRowDxfId="57" dataCellStyle="Currency"/>
    <tableColumn id="7" name="Monthly Change" totalsRowFunction="sum" dataDxfId="56" totalsRowDxfId="55" dataCellStyle="Currency">
      <calculatedColumnFormula>SUM(Reserve_Expenses12[[#This Row],[Current Monthly]]-Reserve_Expenses12[[#This Row],[Prior Monthly]])</calculatedColumnFormula>
    </tableColumn>
  </tableColumns>
  <tableStyleInfo name="TableStyleMedium2" showFirstColumn="0" showLastColumn="0" showRowStripes="1" showColumnStripes="0"/>
</table>
</file>

<file path=xl/tables/table7.xml><?xml version="1.0" encoding="utf-8"?>
<table xmlns="http://schemas.openxmlformats.org/spreadsheetml/2006/main" id="1" name="Reserve_Analysis" displayName="Reserve_Analysis" ref="A5:L27" totalsRowCount="1" headerRowDxfId="54" tableBorderDxfId="53">
  <autoFilter ref="A5:L26"/>
  <tableColumns count="12">
    <tableColumn id="1" name="Reserve Items" dataDxfId="52" totalsRowDxfId="11" dataCellStyle="Normal 2"/>
    <tableColumn id="2" name="Useful Life" dataDxfId="51" totalsRowDxfId="10" dataCellStyle="Normal 2"/>
    <tableColumn id="3" name="Yrs. in Use" dataDxfId="50" totalsRowDxfId="9" dataCellStyle="Normal 2"/>
    <tableColumn id="4" name="Remain. Life" totalsRowLabel="Total:" dataDxfId="49" totalsRowDxfId="8" dataCellStyle="Normal 2">
      <calculatedColumnFormula>IFERROR(Reserve_Analysis[[#This Row],[Useful Life]]-Reserve_Analysis[[#This Row],[Yrs. in Use]],"")</calculatedColumnFormula>
    </tableColumn>
    <tableColumn id="14" name="Replac. Cost" totalsRowFunction="sum" dataDxfId="48" totalsRowDxfId="7" dataCellStyle="Normal 2"/>
    <tableColumn id="5" name="Annual  Payment Amount" totalsRowFunction="sum" dataDxfId="47" totalsRowDxfId="6" dataCellStyle="Normal 2">
      <calculatedColumnFormula>IFERROR(Reserve_Analysis[[#This Row],[Replac. Cost]]/Reserve_Analysis[[#This Row],[Useful Life]],"")</calculatedColumnFormula>
    </tableColumn>
    <tableColumn id="6" name="Required Reserves" totalsRowFunction="sum" dataDxfId="46" totalsRowDxfId="5" dataCellStyle="Normal 2">
      <calculatedColumnFormula>IFERROR(Reserve_Analysis[[#This Row],[Yrs. in Use]]*Reserve_Analysis[[#This Row],[Annual  Payment Amount]],"")</calculatedColumnFormula>
    </tableColumn>
    <tableColumn id="7" name="Actual Reserves " totalsRowFunction="sum" dataDxfId="45" totalsRowDxfId="4" dataCellStyle="Normal 2"/>
    <tableColumn id="8" name="Adequate / (Shortage)" totalsRowFunction="sum" dataDxfId="44" totalsRowDxfId="3" dataCellStyle="Normal 2">
      <calculatedColumnFormula>IFERROR(Reserve_Analysis[[#This Row],[Actual Reserves ]]-Reserve_Analysis[[#This Row],[Required Reserves]],"")</calculatedColumnFormula>
    </tableColumn>
    <tableColumn id="9" name="Percent Funded" totalsRowFunction="custom" dataDxfId="43" totalsRowDxfId="2" dataCellStyle="Normal 2">
      <calculatedColumnFormula>IFERROR(Reserve_Analysis[[#This Row],[Actual Reserves ]]/Reserve_Analysis[[#This Row],[Required Reserves]],"")</calculatedColumnFormula>
      <totalsRowFormula>IF(ISERROR(Reserve_Analysis[[#Totals],[Actual Reserves ]]/Reserve_Analysis[[#Totals],[Required Reserves]]),"",H27/G27)</totalsRowFormula>
    </tableColumn>
    <tableColumn id="11" name="Amount to Fund Replac. " totalsRowFunction="sum" dataDxfId="42" totalsRowDxfId="1" dataCellStyle="Normal 2">
      <calculatedColumnFormula>IF(Reserve_Analysis[[#This Row],[Actual Reserves ]]&gt;= Reserve_Analysis[[#This Row],[Replac. Cost]],0,Reserve_Analysis[[#This Row],[Replac. Cost]]-Reserve_Analysis[[#This Row],[Actual Reserves ]])</calculatedColumnFormula>
    </tableColumn>
    <tableColumn id="12" name="Annual Replac. Cost" totalsRowFunction="sum" dataDxfId="41" totalsRowDxfId="0" dataCellStyle="Normal 2">
      <calculatedColumnFormula>IF(AND(Reserve_Analysis[[#This Row],[Remain. Life]]=0,Reserve_Analysis[[#This Row],[Amount to Fund Replac. ]]&gt;0),Reserve_Analysis[[#This Row],[Amount to Fund Replac. ]]/5,(IF(AND(Reserve_Analysis[[#This Row],[Remain. Life]]&gt;0,Reserve_Analysis[[#This Row],[Amount to Fund Replac. ]]&gt;0),Reserve_Analysis[[#This Row],[Amount to Fund Replac. ]]/Reserve_Analysis[[#This Row],[Remain. Life]],(IF(AND(Reserve_Analysis[[#This Row],[Remain. Life]]&gt;0,Reserve_Analysis[[#This Row],[Amount to Fund Replac. ]]=0),0,(IF(AND(Reserve_Analysis[[#This Row],[Remain. Life]]=0,Reserve_Analysis[[#This Row],[Amount to Fund Replac. ]]=0),0)))))))</calculatedColumnFormula>
    </tableColumn>
  </tableColumns>
  <tableStyleInfo name="TableStyleLight15" showFirstColumn="0" showLastColumn="0" showRowStripes="1" showColumnStripes="0"/>
</table>
</file>

<file path=xl/tables/table8.xml><?xml version="1.0" encoding="utf-8"?>
<table xmlns="http://schemas.openxmlformats.org/spreadsheetml/2006/main" id="5" name="Reserve_Analysis3" displayName="Reserve_Analysis3" ref="A5:L20" totalsRowCount="1" headerRowDxfId="40" dataDxfId="39" totalsRowDxfId="37" tableBorderDxfId="38">
  <autoFilter ref="A5:L19"/>
  <tableColumns count="12">
    <tableColumn id="1" name="Reserve Items" dataDxfId="36" totalsRowDxfId="35" dataCellStyle="Normal 2"/>
    <tableColumn id="2" name="Useful Life" dataDxfId="34" totalsRowDxfId="33" dataCellStyle="Normal 2"/>
    <tableColumn id="3" name="Yrs. in Use" dataDxfId="32" totalsRowDxfId="31" dataCellStyle="Normal 2"/>
    <tableColumn id="4" name="Remain. Life" totalsRowLabel="Total:" dataDxfId="30" totalsRowDxfId="29" dataCellStyle="Normal 2">
      <calculatedColumnFormula>IFERROR(Reserve_Analysis3[[#This Row],[Useful Life]]-Reserve_Analysis3[[#This Row],[Yrs. in Use]],"")</calculatedColumnFormula>
    </tableColumn>
    <tableColumn id="14" name="Replac. Cost" totalsRowFunction="sum" dataDxfId="28" totalsRowDxfId="27" dataCellStyle="Normal 2"/>
    <tableColumn id="5" name="Annual  Payment Amount" totalsRowFunction="sum" dataDxfId="26" totalsRowDxfId="25" dataCellStyle="Normal 2">
      <calculatedColumnFormula>IFERROR(Reserve_Analysis3[[#This Row],[Replac. Cost]]/Reserve_Analysis3[[#This Row],[Useful Life]],"")</calculatedColumnFormula>
    </tableColumn>
    <tableColumn id="6" name="Required Reserves" totalsRowFunction="sum" dataDxfId="24" totalsRowDxfId="23" dataCellStyle="Normal 2">
      <calculatedColumnFormula>IFERROR(Reserve_Analysis3[[#This Row],[Yrs. in Use]]*Reserve_Analysis3[[#This Row],[Annual  Payment Amount]],"")</calculatedColumnFormula>
    </tableColumn>
    <tableColumn id="7" name="Actual Reserves " totalsRowFunction="sum" dataDxfId="22" totalsRowDxfId="21" dataCellStyle="Normal 2"/>
    <tableColumn id="8" name="Adequate / (Shortage)" totalsRowFunction="sum" dataDxfId="20" totalsRowDxfId="19" dataCellStyle="Normal 2">
      <calculatedColumnFormula>IFERROR(Reserve_Analysis3[[#This Row],[Actual Reserves ]]-Reserve_Analysis3[[#This Row],[Required Reserves]],"")</calculatedColumnFormula>
    </tableColumn>
    <tableColumn id="9" name="Percent Funded" totalsRowFunction="custom" dataDxfId="18" totalsRowDxfId="17" dataCellStyle="Normal 2">
      <calculatedColumnFormula>IFERROR(Reserve_Analysis3[[#This Row],[Actual Reserves ]]/Reserve_Analysis3[[#This Row],[Required Reserves]],"")</calculatedColumnFormula>
      <totalsRowFormula>IF(ISERROR(Reserve_Analysis3[[#Totals],[Actual Reserves ]]/Reserve_Analysis3[[#Totals],[Required Reserves]]),"",H20/G20)</totalsRowFormula>
    </tableColumn>
    <tableColumn id="11" name="Amount to Fund Replac. " totalsRowFunction="sum" dataDxfId="16" totalsRowDxfId="15" dataCellStyle="Normal 2">
      <calculatedColumnFormula>IF(Reserve_Analysis3[[#This Row],[Actual Reserves ]]&gt;= Reserve_Analysis3[[#This Row],[Replac. Cost]],0,Reserve_Analysis3[[#This Row],[Replac. Cost]]-Reserve_Analysis3[[#This Row],[Actual Reserves ]])</calculatedColumnFormula>
    </tableColumn>
    <tableColumn id="12" name="Annual Replac. Cost" totalsRowFunction="sum" dataDxfId="14" totalsRowDxfId="13" dataCellStyle="Normal 2">
      <calculatedColumnFormula>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tabSelected="1" view="pageLayout" zoomScaleNormal="100" workbookViewId="0">
      <selection sqref="A1:K33"/>
    </sheetView>
  </sheetViews>
  <sheetFormatPr defaultRowHeight="13.2" x14ac:dyDescent="0.25"/>
  <sheetData>
    <row r="1" spans="1:12" ht="12.75" customHeight="1" x14ac:dyDescent="0.25">
      <c r="A1" s="253" t="s">
        <v>78</v>
      </c>
      <c r="B1" s="254"/>
      <c r="C1" s="254"/>
      <c r="D1" s="254"/>
      <c r="E1" s="254"/>
      <c r="F1" s="254"/>
      <c r="G1" s="254"/>
      <c r="H1" s="254"/>
      <c r="I1" s="254"/>
      <c r="J1" s="254"/>
      <c r="K1" s="254"/>
      <c r="L1" s="9"/>
    </row>
    <row r="2" spans="1:12" x14ac:dyDescent="0.25">
      <c r="A2" s="254"/>
      <c r="B2" s="254"/>
      <c r="C2" s="254"/>
      <c r="D2" s="254"/>
      <c r="E2" s="254"/>
      <c r="F2" s="254"/>
      <c r="G2" s="254"/>
      <c r="H2" s="254"/>
      <c r="I2" s="254"/>
      <c r="J2" s="254"/>
      <c r="K2" s="254"/>
    </row>
    <row r="3" spans="1:12" x14ac:dyDescent="0.25">
      <c r="A3" s="254"/>
      <c r="B3" s="254"/>
      <c r="C3" s="254"/>
      <c r="D3" s="254"/>
      <c r="E3" s="254"/>
      <c r="F3" s="254"/>
      <c r="G3" s="254"/>
      <c r="H3" s="254"/>
      <c r="I3" s="254"/>
      <c r="J3" s="254"/>
      <c r="K3" s="254"/>
    </row>
    <row r="4" spans="1:12" x14ac:dyDescent="0.25">
      <c r="A4" s="254"/>
      <c r="B4" s="254"/>
      <c r="C4" s="254"/>
      <c r="D4" s="254"/>
      <c r="E4" s="254"/>
      <c r="F4" s="254"/>
      <c r="G4" s="254"/>
      <c r="H4" s="254"/>
      <c r="I4" s="254"/>
      <c r="J4" s="254"/>
      <c r="K4" s="254"/>
    </row>
    <row r="5" spans="1:12" x14ac:dyDescent="0.25">
      <c r="A5" s="254"/>
      <c r="B5" s="254"/>
      <c r="C5" s="254"/>
      <c r="D5" s="254"/>
      <c r="E5" s="254"/>
      <c r="F5" s="254"/>
      <c r="G5" s="254"/>
      <c r="H5" s="254"/>
      <c r="I5" s="254"/>
      <c r="J5" s="254"/>
      <c r="K5" s="254"/>
    </row>
    <row r="6" spans="1:12" x14ac:dyDescent="0.25">
      <c r="A6" s="254"/>
      <c r="B6" s="254"/>
      <c r="C6" s="254"/>
      <c r="D6" s="254"/>
      <c r="E6" s="254"/>
      <c r="F6" s="254"/>
      <c r="G6" s="254"/>
      <c r="H6" s="254"/>
      <c r="I6" s="254"/>
      <c r="J6" s="254"/>
      <c r="K6" s="254"/>
    </row>
    <row r="7" spans="1:12" x14ac:dyDescent="0.25">
      <c r="A7" s="254"/>
      <c r="B7" s="254"/>
      <c r="C7" s="254"/>
      <c r="D7" s="254"/>
      <c r="E7" s="254"/>
      <c r="F7" s="254"/>
      <c r="G7" s="254"/>
      <c r="H7" s="254"/>
      <c r="I7" s="254"/>
      <c r="J7" s="254"/>
      <c r="K7" s="254"/>
    </row>
    <row r="8" spans="1:12" x14ac:dyDescent="0.25">
      <c r="A8" s="254"/>
      <c r="B8" s="254"/>
      <c r="C8" s="254"/>
      <c r="D8" s="254"/>
      <c r="E8" s="254"/>
      <c r="F8" s="254"/>
      <c r="G8" s="254"/>
      <c r="H8" s="254"/>
      <c r="I8" s="254"/>
      <c r="J8" s="254"/>
      <c r="K8" s="254"/>
    </row>
    <row r="9" spans="1:12" x14ac:dyDescent="0.25">
      <c r="A9" s="254"/>
      <c r="B9" s="254"/>
      <c r="C9" s="254"/>
      <c r="D9" s="254"/>
      <c r="E9" s="254"/>
      <c r="F9" s="254"/>
      <c r="G9" s="254"/>
      <c r="H9" s="254"/>
      <c r="I9" s="254"/>
      <c r="J9" s="254"/>
      <c r="K9" s="254"/>
    </row>
    <row r="10" spans="1:12" x14ac:dyDescent="0.25">
      <c r="A10" s="254"/>
      <c r="B10" s="254"/>
      <c r="C10" s="254"/>
      <c r="D10" s="254"/>
      <c r="E10" s="254"/>
      <c r="F10" s="254"/>
      <c r="G10" s="254"/>
      <c r="H10" s="254"/>
      <c r="I10" s="254"/>
      <c r="J10" s="254"/>
      <c r="K10" s="254"/>
    </row>
    <row r="11" spans="1:12" x14ac:dyDescent="0.25">
      <c r="A11" s="254"/>
      <c r="B11" s="254"/>
      <c r="C11" s="254"/>
      <c r="D11" s="254"/>
      <c r="E11" s="254"/>
      <c r="F11" s="254"/>
      <c r="G11" s="254"/>
      <c r="H11" s="254"/>
      <c r="I11" s="254"/>
      <c r="J11" s="254"/>
      <c r="K11" s="254"/>
    </row>
    <row r="12" spans="1:12" x14ac:dyDescent="0.25">
      <c r="A12" s="254"/>
      <c r="B12" s="254"/>
      <c r="C12" s="254"/>
      <c r="D12" s="254"/>
      <c r="E12" s="254"/>
      <c r="F12" s="254"/>
      <c r="G12" s="254"/>
      <c r="H12" s="254"/>
      <c r="I12" s="254"/>
      <c r="J12" s="254"/>
      <c r="K12" s="254"/>
    </row>
    <row r="13" spans="1:12" x14ac:dyDescent="0.25">
      <c r="A13" s="254"/>
      <c r="B13" s="254"/>
      <c r="C13" s="254"/>
      <c r="D13" s="254"/>
      <c r="E13" s="254"/>
      <c r="F13" s="254"/>
      <c r="G13" s="254"/>
      <c r="H13" s="254"/>
      <c r="I13" s="254"/>
      <c r="J13" s="254"/>
      <c r="K13" s="254"/>
    </row>
    <row r="14" spans="1:12" x14ac:dyDescent="0.25">
      <c r="A14" s="254"/>
      <c r="B14" s="254"/>
      <c r="C14" s="254"/>
      <c r="D14" s="254"/>
      <c r="E14" s="254"/>
      <c r="F14" s="254"/>
      <c r="G14" s="254"/>
      <c r="H14" s="254"/>
      <c r="I14" s="254"/>
      <c r="J14" s="254"/>
      <c r="K14" s="254"/>
    </row>
    <row r="15" spans="1:12" x14ac:dyDescent="0.25">
      <c r="A15" s="254"/>
      <c r="B15" s="254"/>
      <c r="C15" s="254"/>
      <c r="D15" s="254"/>
      <c r="E15" s="254"/>
      <c r="F15" s="254"/>
      <c r="G15" s="254"/>
      <c r="H15" s="254"/>
      <c r="I15" s="254"/>
      <c r="J15" s="254"/>
      <c r="K15" s="254"/>
    </row>
    <row r="16" spans="1:12" x14ac:dyDescent="0.25">
      <c r="A16" s="254"/>
      <c r="B16" s="254"/>
      <c r="C16" s="254"/>
      <c r="D16" s="254"/>
      <c r="E16" s="254"/>
      <c r="F16" s="254"/>
      <c r="G16" s="254"/>
      <c r="H16" s="254"/>
      <c r="I16" s="254"/>
      <c r="J16" s="254"/>
      <c r="K16" s="254"/>
    </row>
    <row r="17" spans="1:11" x14ac:dyDescent="0.25">
      <c r="A17" s="254"/>
      <c r="B17" s="254"/>
      <c r="C17" s="254"/>
      <c r="D17" s="254"/>
      <c r="E17" s="254"/>
      <c r="F17" s="254"/>
      <c r="G17" s="254"/>
      <c r="H17" s="254"/>
      <c r="I17" s="254"/>
      <c r="J17" s="254"/>
      <c r="K17" s="254"/>
    </row>
    <row r="18" spans="1:11" x14ac:dyDescent="0.25">
      <c r="A18" s="254"/>
      <c r="B18" s="254"/>
      <c r="C18" s="254"/>
      <c r="D18" s="254"/>
      <c r="E18" s="254"/>
      <c r="F18" s="254"/>
      <c r="G18" s="254"/>
      <c r="H18" s="254"/>
      <c r="I18" s="254"/>
      <c r="J18" s="254"/>
      <c r="K18" s="254"/>
    </row>
    <row r="19" spans="1:11" x14ac:dyDescent="0.25">
      <c r="A19" s="254"/>
      <c r="B19" s="254"/>
      <c r="C19" s="254"/>
      <c r="D19" s="254"/>
      <c r="E19" s="254"/>
      <c r="F19" s="254"/>
      <c r="G19" s="254"/>
      <c r="H19" s="254"/>
      <c r="I19" s="254"/>
      <c r="J19" s="254"/>
      <c r="K19" s="254"/>
    </row>
    <row r="20" spans="1:11" x14ac:dyDescent="0.25">
      <c r="A20" s="254"/>
      <c r="B20" s="254"/>
      <c r="C20" s="254"/>
      <c r="D20" s="254"/>
      <c r="E20" s="254"/>
      <c r="F20" s="254"/>
      <c r="G20" s="254"/>
      <c r="H20" s="254"/>
      <c r="I20" s="254"/>
      <c r="J20" s="254"/>
      <c r="K20" s="254"/>
    </row>
    <row r="21" spans="1:11" x14ac:dyDescent="0.25">
      <c r="A21" s="254"/>
      <c r="B21" s="254"/>
      <c r="C21" s="254"/>
      <c r="D21" s="254"/>
      <c r="E21" s="254"/>
      <c r="F21" s="254"/>
      <c r="G21" s="254"/>
      <c r="H21" s="254"/>
      <c r="I21" s="254"/>
      <c r="J21" s="254"/>
      <c r="K21" s="254"/>
    </row>
    <row r="22" spans="1:11" x14ac:dyDescent="0.25">
      <c r="A22" s="254"/>
      <c r="B22" s="254"/>
      <c r="C22" s="254"/>
      <c r="D22" s="254"/>
      <c r="E22" s="254"/>
      <c r="F22" s="254"/>
      <c r="G22" s="254"/>
      <c r="H22" s="254"/>
      <c r="I22" s="254"/>
      <c r="J22" s="254"/>
      <c r="K22" s="254"/>
    </row>
    <row r="23" spans="1:11" x14ac:dyDescent="0.25">
      <c r="A23" s="254"/>
      <c r="B23" s="254"/>
      <c r="C23" s="254"/>
      <c r="D23" s="254"/>
      <c r="E23" s="254"/>
      <c r="F23" s="254"/>
      <c r="G23" s="254"/>
      <c r="H23" s="254"/>
      <c r="I23" s="254"/>
      <c r="J23" s="254"/>
      <c r="K23" s="254"/>
    </row>
    <row r="24" spans="1:11" x14ac:dyDescent="0.25">
      <c r="A24" s="254"/>
      <c r="B24" s="254"/>
      <c r="C24" s="254"/>
      <c r="D24" s="254"/>
      <c r="E24" s="254"/>
      <c r="F24" s="254"/>
      <c r="G24" s="254"/>
      <c r="H24" s="254"/>
      <c r="I24" s="254"/>
      <c r="J24" s="254"/>
      <c r="K24" s="254"/>
    </row>
    <row r="25" spans="1:11" x14ac:dyDescent="0.25">
      <c r="A25" s="254"/>
      <c r="B25" s="254"/>
      <c r="C25" s="254"/>
      <c r="D25" s="254"/>
      <c r="E25" s="254"/>
      <c r="F25" s="254"/>
      <c r="G25" s="254"/>
      <c r="H25" s="254"/>
      <c r="I25" s="254"/>
      <c r="J25" s="254"/>
      <c r="K25" s="254"/>
    </row>
    <row r="26" spans="1:11" x14ac:dyDescent="0.25">
      <c r="A26" s="254"/>
      <c r="B26" s="254"/>
      <c r="C26" s="254"/>
      <c r="D26" s="254"/>
      <c r="E26" s="254"/>
      <c r="F26" s="254"/>
      <c r="G26" s="254"/>
      <c r="H26" s="254"/>
      <c r="I26" s="254"/>
      <c r="J26" s="254"/>
      <c r="K26" s="254"/>
    </row>
    <row r="27" spans="1:11" x14ac:dyDescent="0.25">
      <c r="A27" s="254"/>
      <c r="B27" s="254"/>
      <c r="C27" s="254"/>
      <c r="D27" s="254"/>
      <c r="E27" s="254"/>
      <c r="F27" s="254"/>
      <c r="G27" s="254"/>
      <c r="H27" s="254"/>
      <c r="I27" s="254"/>
      <c r="J27" s="254"/>
      <c r="K27" s="254"/>
    </row>
    <row r="28" spans="1:11" x14ac:dyDescent="0.25">
      <c r="A28" s="254"/>
      <c r="B28" s="254"/>
      <c r="C28" s="254"/>
      <c r="D28" s="254"/>
      <c r="E28" s="254"/>
      <c r="F28" s="254"/>
      <c r="G28" s="254"/>
      <c r="H28" s="254"/>
      <c r="I28" s="254"/>
      <c r="J28" s="254"/>
      <c r="K28" s="254"/>
    </row>
    <row r="29" spans="1:11" x14ac:dyDescent="0.25">
      <c r="A29" s="254"/>
      <c r="B29" s="254"/>
      <c r="C29" s="254"/>
      <c r="D29" s="254"/>
      <c r="E29" s="254"/>
      <c r="F29" s="254"/>
      <c r="G29" s="254"/>
      <c r="H29" s="254"/>
      <c r="I29" s="254"/>
      <c r="J29" s="254"/>
      <c r="K29" s="254"/>
    </row>
    <row r="30" spans="1:11" x14ac:dyDescent="0.25">
      <c r="A30" s="254"/>
      <c r="B30" s="254"/>
      <c r="C30" s="254"/>
      <c r="D30" s="254"/>
      <c r="E30" s="254"/>
      <c r="F30" s="254"/>
      <c r="G30" s="254"/>
      <c r="H30" s="254"/>
      <c r="I30" s="254"/>
      <c r="J30" s="254"/>
      <c r="K30" s="254"/>
    </row>
    <row r="31" spans="1:11" x14ac:dyDescent="0.25">
      <c r="A31" s="254"/>
      <c r="B31" s="254"/>
      <c r="C31" s="254"/>
      <c r="D31" s="254"/>
      <c r="E31" s="254"/>
      <c r="F31" s="254"/>
      <c r="G31" s="254"/>
      <c r="H31" s="254"/>
      <c r="I31" s="254"/>
      <c r="J31" s="254"/>
      <c r="K31" s="254"/>
    </row>
    <row r="32" spans="1:11" x14ac:dyDescent="0.25">
      <c r="A32" s="254"/>
      <c r="B32" s="254"/>
      <c r="C32" s="254"/>
      <c r="D32" s="254"/>
      <c r="E32" s="254"/>
      <c r="F32" s="254"/>
      <c r="G32" s="254"/>
      <c r="H32" s="254"/>
      <c r="I32" s="254"/>
      <c r="J32" s="254"/>
      <c r="K32" s="254"/>
    </row>
    <row r="33" spans="1:11" x14ac:dyDescent="0.25">
      <c r="A33" s="254"/>
      <c r="B33" s="254"/>
      <c r="C33" s="254"/>
      <c r="D33" s="254"/>
      <c r="E33" s="254"/>
      <c r="F33" s="254"/>
      <c r="G33" s="254"/>
      <c r="H33" s="254"/>
      <c r="I33" s="254"/>
      <c r="J33" s="254"/>
      <c r="K33" s="254"/>
    </row>
    <row r="34" spans="1:11" x14ac:dyDescent="0.25">
      <c r="A34" s="36"/>
      <c r="B34" s="36"/>
      <c r="C34" s="36"/>
      <c r="D34" s="36"/>
      <c r="E34" s="36"/>
      <c r="F34" s="36"/>
      <c r="G34" s="36"/>
      <c r="H34" s="36"/>
      <c r="I34" s="36"/>
      <c r="J34" s="36"/>
      <c r="K34" s="36"/>
    </row>
    <row r="35" spans="1:11" x14ac:dyDescent="0.25">
      <c r="A35" s="36"/>
      <c r="B35" s="36"/>
      <c r="C35" s="36"/>
      <c r="D35" s="36"/>
      <c r="E35" s="36"/>
      <c r="F35" s="36"/>
      <c r="G35" s="36"/>
      <c r="H35" s="36"/>
      <c r="I35" s="36"/>
      <c r="J35" s="36"/>
      <c r="K35" s="36"/>
    </row>
    <row r="36" spans="1:11" x14ac:dyDescent="0.25">
      <c r="A36" s="36"/>
      <c r="B36" s="36"/>
      <c r="C36" s="36"/>
      <c r="D36" s="36"/>
      <c r="E36" s="36"/>
      <c r="F36" s="36"/>
      <c r="G36" s="36"/>
      <c r="H36" s="36"/>
      <c r="I36" s="36"/>
      <c r="J36" s="36"/>
      <c r="K36" s="36"/>
    </row>
    <row r="37" spans="1:11" x14ac:dyDescent="0.25">
      <c r="A37" s="36"/>
      <c r="B37" s="36"/>
      <c r="C37" s="36"/>
      <c r="D37" s="36"/>
      <c r="E37" s="36"/>
      <c r="F37" s="36"/>
      <c r="G37" s="36"/>
      <c r="H37" s="36"/>
      <c r="I37" s="36"/>
      <c r="J37" s="36"/>
      <c r="K37" s="36"/>
    </row>
    <row r="38" spans="1:11" x14ac:dyDescent="0.25">
      <c r="A38" s="36"/>
      <c r="B38" s="36"/>
      <c r="C38" s="36"/>
      <c r="D38" s="36"/>
      <c r="E38" s="36"/>
      <c r="F38" s="36"/>
      <c r="G38" s="36"/>
      <c r="H38" s="36"/>
      <c r="I38" s="36"/>
      <c r="J38" s="36"/>
      <c r="K38" s="36"/>
    </row>
    <row r="39" spans="1:11" x14ac:dyDescent="0.25">
      <c r="A39" s="36"/>
      <c r="B39" s="36"/>
      <c r="C39" s="36"/>
      <c r="D39" s="36"/>
      <c r="E39" s="36"/>
      <c r="F39" s="36"/>
      <c r="G39" s="36"/>
      <c r="H39" s="36"/>
      <c r="I39" s="36"/>
      <c r="J39" s="36"/>
      <c r="K39" s="36"/>
    </row>
    <row r="40" spans="1:11" x14ac:dyDescent="0.25">
      <c r="A40" s="36"/>
      <c r="B40" s="36"/>
      <c r="C40" s="36"/>
      <c r="D40" s="36"/>
      <c r="E40" s="36"/>
      <c r="F40" s="36"/>
      <c r="G40" s="36"/>
      <c r="H40" s="36"/>
      <c r="I40" s="36"/>
      <c r="J40" s="36"/>
      <c r="K40" s="36"/>
    </row>
    <row r="41" spans="1:11" x14ac:dyDescent="0.25">
      <c r="A41" s="36"/>
      <c r="B41" s="36"/>
      <c r="C41" s="36"/>
      <c r="D41" s="36"/>
      <c r="E41" s="36"/>
      <c r="F41" s="36"/>
      <c r="G41" s="36"/>
      <c r="H41" s="36"/>
      <c r="I41" s="36"/>
      <c r="J41" s="36"/>
      <c r="K41" s="36"/>
    </row>
    <row r="42" spans="1:11" x14ac:dyDescent="0.25">
      <c r="A42" s="36"/>
      <c r="B42" s="36"/>
      <c r="C42" s="36"/>
      <c r="D42" s="36"/>
      <c r="E42" s="36"/>
      <c r="F42" s="36"/>
      <c r="G42" s="36"/>
      <c r="H42" s="36"/>
      <c r="I42" s="36"/>
      <c r="J42" s="36"/>
      <c r="K42" s="36"/>
    </row>
    <row r="43" spans="1:11" x14ac:dyDescent="0.25">
      <c r="A43" s="36"/>
      <c r="B43" s="36"/>
      <c r="C43" s="36"/>
      <c r="D43" s="36"/>
      <c r="E43" s="36"/>
      <c r="F43" s="36"/>
      <c r="G43" s="36"/>
      <c r="H43" s="36"/>
      <c r="I43" s="36"/>
      <c r="J43" s="36"/>
      <c r="K43" s="36"/>
    </row>
    <row r="44" spans="1:11" x14ac:dyDescent="0.25">
      <c r="A44" s="36"/>
      <c r="B44" s="36"/>
      <c r="C44" s="36"/>
      <c r="D44" s="36"/>
      <c r="E44" s="36"/>
      <c r="F44" s="36"/>
      <c r="G44" s="36"/>
      <c r="H44" s="36"/>
      <c r="I44" s="36"/>
      <c r="J44" s="36"/>
      <c r="K44" s="36"/>
    </row>
    <row r="45" spans="1:11" x14ac:dyDescent="0.25">
      <c r="A45" s="36"/>
      <c r="B45" s="36"/>
      <c r="C45" s="36"/>
      <c r="D45" s="36"/>
      <c r="E45" s="36"/>
      <c r="F45" s="36"/>
      <c r="G45" s="36"/>
      <c r="H45" s="36"/>
      <c r="I45" s="36"/>
      <c r="J45" s="36"/>
      <c r="K45" s="36"/>
    </row>
    <row r="46" spans="1:11" x14ac:dyDescent="0.25">
      <c r="A46" s="36"/>
      <c r="B46" s="36"/>
      <c r="C46" s="36"/>
      <c r="D46" s="36"/>
      <c r="E46" s="36"/>
      <c r="F46" s="36"/>
      <c r="G46" s="36"/>
      <c r="H46" s="36"/>
      <c r="I46" s="36"/>
      <c r="J46" s="36"/>
      <c r="K46" s="36"/>
    </row>
    <row r="47" spans="1:11" x14ac:dyDescent="0.25">
      <c r="A47" s="36"/>
      <c r="B47" s="36"/>
      <c r="C47" s="36"/>
      <c r="D47" s="36"/>
      <c r="E47" s="36"/>
      <c r="F47" s="36"/>
      <c r="G47" s="36"/>
      <c r="H47" s="36"/>
      <c r="I47" s="36"/>
      <c r="J47" s="36"/>
      <c r="K47" s="36"/>
    </row>
    <row r="48" spans="1:11" x14ac:dyDescent="0.25">
      <c r="A48" s="36"/>
      <c r="B48" s="36"/>
      <c r="C48" s="36"/>
      <c r="D48" s="36"/>
      <c r="E48" s="36"/>
      <c r="F48" s="36"/>
      <c r="G48" s="36"/>
      <c r="H48" s="36"/>
      <c r="I48" s="36"/>
      <c r="J48" s="36"/>
      <c r="K48" s="36"/>
    </row>
    <row r="49" spans="1:11" x14ac:dyDescent="0.25">
      <c r="A49" s="36"/>
      <c r="B49" s="36"/>
      <c r="C49" s="36"/>
      <c r="D49" s="36"/>
      <c r="E49" s="36"/>
      <c r="F49" s="36"/>
      <c r="G49" s="36"/>
      <c r="H49" s="36"/>
      <c r="I49" s="36"/>
      <c r="J49" s="36"/>
      <c r="K49" s="36"/>
    </row>
    <row r="50" spans="1:11" x14ac:dyDescent="0.25">
      <c r="A50" s="36"/>
      <c r="B50" s="36"/>
      <c r="C50" s="36"/>
      <c r="D50" s="36"/>
      <c r="E50" s="36"/>
      <c r="F50" s="36"/>
      <c r="G50" s="36"/>
      <c r="H50" s="36"/>
      <c r="I50" s="36"/>
      <c r="J50" s="36"/>
      <c r="K50" s="36"/>
    </row>
    <row r="51" spans="1:11" x14ac:dyDescent="0.25">
      <c r="A51" s="36"/>
      <c r="B51" s="36"/>
      <c r="C51" s="36"/>
      <c r="D51" s="36"/>
      <c r="E51" s="36"/>
      <c r="F51" s="36"/>
      <c r="G51" s="36"/>
      <c r="H51" s="36"/>
      <c r="I51" s="36"/>
      <c r="J51" s="36"/>
      <c r="K51" s="36"/>
    </row>
    <row r="52" spans="1:11" x14ac:dyDescent="0.25">
      <c r="A52" s="36"/>
      <c r="B52" s="36"/>
      <c r="C52" s="36"/>
      <c r="D52" s="36"/>
      <c r="E52" s="36"/>
      <c r="F52" s="36"/>
      <c r="G52" s="36"/>
      <c r="H52" s="36"/>
      <c r="I52" s="36"/>
      <c r="J52" s="36"/>
      <c r="K52" s="36"/>
    </row>
    <row r="53" spans="1:11" x14ac:dyDescent="0.25">
      <c r="A53" s="36"/>
      <c r="B53" s="36"/>
      <c r="C53" s="36"/>
      <c r="D53" s="36"/>
      <c r="E53" s="36"/>
      <c r="F53" s="36"/>
      <c r="G53" s="36"/>
      <c r="H53" s="36"/>
      <c r="I53" s="36"/>
      <c r="J53" s="36"/>
      <c r="K53" s="36"/>
    </row>
    <row r="54" spans="1:11" x14ac:dyDescent="0.25">
      <c r="A54" s="36"/>
      <c r="B54" s="36"/>
      <c r="C54" s="36"/>
      <c r="D54" s="36"/>
      <c r="E54" s="36"/>
      <c r="F54" s="36"/>
      <c r="G54" s="36"/>
      <c r="H54" s="36"/>
      <c r="I54" s="36"/>
      <c r="J54" s="36"/>
      <c r="K54" s="36"/>
    </row>
    <row r="55" spans="1:11" x14ac:dyDescent="0.25">
      <c r="A55" s="36"/>
      <c r="B55" s="36"/>
      <c r="C55" s="36"/>
      <c r="D55" s="36"/>
      <c r="E55" s="36"/>
      <c r="F55" s="36"/>
      <c r="G55" s="36"/>
      <c r="H55" s="36"/>
      <c r="I55" s="36"/>
      <c r="J55" s="36"/>
      <c r="K55" s="36"/>
    </row>
  </sheetData>
  <sheetProtection algorithmName="SHA-512" hashValue="EogzdP+Q+SETTJ1KbIuacijymtIFlNzGH2PcBaYUdLrYqvQ/SJtGl+3+P2T3INRzShUbA3K4Os4rActzcEkXwA==" saltValue="HrMn4ZX3ITTQMyNzHhWhwA==" spinCount="100000" sheet="1" objects="1" scenarios="1" selectLockedCells="1" selectUnlockedCells="1"/>
  <mergeCells count="1">
    <mergeCell ref="A1:K33"/>
  </mergeCells>
  <printOptions horizontalCentered="1"/>
  <pageMargins left="0.25" right="0.25" top="0.75" bottom="0.75" header="0.3" footer="0.3"/>
  <pageSetup orientation="portrait" r:id="rId1"/>
  <headerFooter>
    <oddHeader>&amp;C&amp;"Franklin Gothic Demi,Bold"&amp;12Workbook Instructions for:
BUDGET Worksheet and RESERVE ITEMS ANALYSIS Worksheet</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K81"/>
  <sheetViews>
    <sheetView showZeros="0" view="pageLayout" zoomScale="120" zoomScaleNormal="100" zoomScalePageLayoutView="120" workbookViewId="0">
      <selection activeCell="B1" sqref="B1:D1"/>
    </sheetView>
  </sheetViews>
  <sheetFormatPr defaultRowHeight="13.2" x14ac:dyDescent="0.25"/>
  <cols>
    <col min="1" max="1" width="27.44140625" customWidth="1"/>
    <col min="2" max="2" width="16.44140625" customWidth="1"/>
    <col min="3" max="3" width="15.44140625" customWidth="1"/>
    <col min="4" max="4" width="15.88671875" customWidth="1"/>
    <col min="5" max="5" width="18.33203125" customWidth="1"/>
    <col min="6" max="6" width="17.44140625" customWidth="1"/>
    <col min="7" max="7" width="18.6640625" customWidth="1"/>
    <col min="8" max="8" width="13.33203125" customWidth="1"/>
    <col min="9" max="9" width="12.88671875" customWidth="1"/>
    <col min="10" max="10" width="12.44140625" customWidth="1"/>
    <col min="11" max="11" width="10.33203125" bestFit="1" customWidth="1"/>
    <col min="12" max="12" width="11.33203125" bestFit="1" customWidth="1"/>
  </cols>
  <sheetData>
    <row r="1" spans="1:11" ht="17.25" customHeight="1" x14ac:dyDescent="0.25">
      <c r="A1" s="245" t="s">
        <v>25</v>
      </c>
      <c r="B1" s="255"/>
      <c r="C1" s="255"/>
      <c r="D1" s="255"/>
      <c r="E1" s="7" t="s">
        <v>16</v>
      </c>
      <c r="F1" s="104"/>
      <c r="H1" s="160"/>
      <c r="I1" s="160"/>
    </row>
    <row r="2" spans="1:11" ht="17.25" customHeight="1" x14ac:dyDescent="0.25">
      <c r="A2" s="245"/>
      <c r="B2" s="248"/>
      <c r="C2" s="158" t="s">
        <v>17</v>
      </c>
      <c r="D2" s="105"/>
      <c r="E2" s="7"/>
      <c r="F2" s="249"/>
      <c r="G2" s="158"/>
      <c r="H2" s="265"/>
      <c r="I2" s="160"/>
    </row>
    <row r="3" spans="1:11" ht="18" customHeight="1" x14ac:dyDescent="0.25">
      <c r="A3" s="246" t="s">
        <v>6</v>
      </c>
      <c r="B3" s="32"/>
      <c r="C3" s="7"/>
      <c r="D3" s="2"/>
      <c r="F3" s="195" t="s">
        <v>57</v>
      </c>
      <c r="G3" s="227">
        <f>Operation_Expenses[[#Totals],[Current Monthly]]</f>
        <v>0</v>
      </c>
      <c r="H3" s="160"/>
      <c r="I3" s="160"/>
    </row>
    <row r="4" spans="1:11" ht="18.75" customHeight="1" x14ac:dyDescent="0.25">
      <c r="A4" s="158" t="s">
        <v>7</v>
      </c>
      <c r="B4" s="12"/>
      <c r="C4" s="7"/>
      <c r="D4" s="8" t="s">
        <v>9</v>
      </c>
      <c r="E4" s="120"/>
      <c r="F4" s="195" t="s">
        <v>60</v>
      </c>
      <c r="G4" s="228">
        <f>Reserve_Expenses[[#Totals],[Current Monthly]]</f>
        <v>0</v>
      </c>
      <c r="H4" s="160"/>
      <c r="I4" s="160"/>
    </row>
    <row r="5" spans="1:11" ht="16.2" customHeight="1" x14ac:dyDescent="0.25">
      <c r="A5" s="247"/>
      <c r="B5" s="5" t="s">
        <v>0</v>
      </c>
      <c r="C5" s="5" t="s">
        <v>0</v>
      </c>
      <c r="D5" s="5"/>
      <c r="E5" s="5"/>
      <c r="F5" s="196" t="s">
        <v>58</v>
      </c>
      <c r="G5" s="229">
        <f>G3+G4</f>
        <v>0</v>
      </c>
      <c r="H5" s="266"/>
      <c r="I5" s="160"/>
    </row>
    <row r="6" spans="1:11" ht="16.2" customHeight="1" x14ac:dyDescent="0.25">
      <c r="A6" s="247"/>
      <c r="B6" s="5"/>
      <c r="C6" s="5"/>
      <c r="D6" s="5"/>
      <c r="E6" s="5"/>
      <c r="F6" s="91"/>
      <c r="G6" s="92"/>
      <c r="H6" s="266"/>
      <c r="I6" s="160"/>
    </row>
    <row r="7" spans="1:11" s="2" customFormat="1" ht="15" customHeight="1" x14ac:dyDescent="0.25">
      <c r="A7" s="130" t="s">
        <v>48</v>
      </c>
      <c r="B7" s="237" t="s">
        <v>47</v>
      </c>
      <c r="C7" s="238" t="s">
        <v>48</v>
      </c>
      <c r="D7" s="238" t="s">
        <v>48</v>
      </c>
      <c r="E7" s="237" t="s">
        <v>47</v>
      </c>
      <c r="F7" s="238" t="s">
        <v>48</v>
      </c>
      <c r="G7" s="237" t="s">
        <v>47</v>
      </c>
      <c r="H7" s="267"/>
      <c r="I7" s="268"/>
    </row>
    <row r="8" spans="1:11" s="2" customFormat="1" ht="16.8" customHeight="1" x14ac:dyDescent="0.25">
      <c r="A8" s="133" t="s">
        <v>24</v>
      </c>
      <c r="B8" s="233" t="s">
        <v>18</v>
      </c>
      <c r="C8" s="234" t="s">
        <v>19</v>
      </c>
      <c r="D8" s="234" t="s">
        <v>20</v>
      </c>
      <c r="E8" s="235" t="s">
        <v>21</v>
      </c>
      <c r="F8" s="235" t="s">
        <v>22</v>
      </c>
      <c r="G8" s="235" t="s">
        <v>23</v>
      </c>
      <c r="H8" s="268"/>
      <c r="I8" s="268"/>
    </row>
    <row r="9" spans="1:11" x14ac:dyDescent="0.25">
      <c r="A9" s="137" t="s">
        <v>1</v>
      </c>
      <c r="B9" s="197">
        <f>IF(ISERROR(ROUND(Budget_Revenue[[#This Row],[Prior Annual]]/($F$1*12),2)),0,ROUND(Budget_Revenue[[#This Row],[Prior Annual]]/($F$1*12),2))</f>
        <v>0</v>
      </c>
      <c r="C9" s="26"/>
      <c r="D9" s="26"/>
      <c r="E9" s="199">
        <f>IF(ISERROR(ROUND(Budget_Revenue[[#This Row],[Current Annual]]/($F$1*12),2)),0,(ROUND(Budget_Revenue[[#This Row],[Current Annual]]/($F$1*12),2)))</f>
        <v>0</v>
      </c>
      <c r="F9" s="13"/>
      <c r="G9" s="200">
        <f>SUM(Budget_Revenue[[#This Row],[Current Monthly]]-Budget_Revenue[[#This Row],[Prior Monthly]])</f>
        <v>0</v>
      </c>
      <c r="H9" s="160"/>
      <c r="I9" s="267"/>
      <c r="J9" s="3"/>
      <c r="K9" s="3"/>
    </row>
    <row r="10" spans="1:11" x14ac:dyDescent="0.25">
      <c r="A10" s="113"/>
      <c r="B10" s="197">
        <f>IF(ISERROR(ROUND(Budget_Revenue[[#This Row],[Prior Annual]]/($F$1*12),2)),0,ROUND(Budget_Revenue[[#This Row],[Prior Annual]]/($F$1*12),2))</f>
        <v>0</v>
      </c>
      <c r="C10" s="26"/>
      <c r="D10" s="26"/>
      <c r="E10" s="199">
        <f>IF(ISERROR(ROUND(Budget_Revenue[[#This Row],[Current Annual]]/($F$1*12),2)),0,(ROUND(Budget_Revenue[[#This Row],[Current Annual]]/($F$1*12),2)))</f>
        <v>0</v>
      </c>
      <c r="F10" s="89"/>
      <c r="G10" s="201">
        <f>SUM(Budget_Revenue[[#This Row],[Current Monthly]]-Budget_Revenue[[#This Row],[Prior Monthly]])</f>
        <v>0</v>
      </c>
      <c r="H10" s="160"/>
      <c r="I10" s="267"/>
      <c r="J10" s="3"/>
      <c r="K10" s="3"/>
    </row>
    <row r="11" spans="1:11" x14ac:dyDescent="0.25">
      <c r="A11" s="113"/>
      <c r="B11" s="197">
        <f>IF(ISERROR(ROUND(Budget_Revenue[[#This Row],[Prior Annual]]/($F$1*12),2)),0,ROUND(Budget_Revenue[[#This Row],[Prior Annual]]/($F$1*12),2))</f>
        <v>0</v>
      </c>
      <c r="C11" s="26"/>
      <c r="D11" s="26"/>
      <c r="E11" s="199">
        <f>IF(ISERROR(ROUND(Budget_Revenue[[#This Row],[Current Annual]]/($F$1*12),2)),0,(ROUND(Budget_Revenue[[#This Row],[Current Annual]]/($F$1*12),2)))</f>
        <v>0</v>
      </c>
      <c r="F11" s="89"/>
      <c r="G11" s="201">
        <f>SUM(Budget_Revenue[[#This Row],[Current Monthly]]-Budget_Revenue[[#This Row],[Prior Monthly]])</f>
        <v>0</v>
      </c>
      <c r="H11" s="160"/>
      <c r="I11" s="267"/>
      <c r="J11" s="3"/>
      <c r="K11" s="3"/>
    </row>
    <row r="12" spans="1:11" x14ac:dyDescent="0.25">
      <c r="A12" s="113"/>
      <c r="B12" s="197">
        <f>IF(ISERROR(ROUND(Budget_Revenue[[#This Row],[Prior Annual]]/($F$1*12),2)),0,ROUND(Budget_Revenue[[#This Row],[Prior Annual]]/($F$1*12),2))</f>
        <v>0</v>
      </c>
      <c r="C12" s="26"/>
      <c r="D12" s="26"/>
      <c r="E12" s="199">
        <f>IF(ISERROR(ROUND(Budget_Revenue[[#This Row],[Current Annual]]/($F$1*12),2)),0,(ROUND(Budget_Revenue[[#This Row],[Current Annual]]/($F$1*12),2)))</f>
        <v>0</v>
      </c>
      <c r="F12" s="89"/>
      <c r="G12" s="201">
        <f>SUM(Budget_Revenue[[#This Row],[Current Monthly]]-Budget_Revenue[[#This Row],[Prior Monthly]])</f>
        <v>0</v>
      </c>
      <c r="H12" s="160"/>
      <c r="I12" s="267"/>
      <c r="J12" s="3"/>
      <c r="K12" s="3"/>
    </row>
    <row r="13" spans="1:11" x14ac:dyDescent="0.25">
      <c r="A13" s="113"/>
      <c r="B13" s="197">
        <f>IF(ISERROR(ROUND(Budget_Revenue[[#This Row],[Prior Annual]]/($F$1*12),2)),0,ROUND(Budget_Revenue[[#This Row],[Prior Annual]]/($F$1*12),2))</f>
        <v>0</v>
      </c>
      <c r="C13" s="26"/>
      <c r="D13" s="26"/>
      <c r="E13" s="199">
        <f>IF(ISERROR(ROUND(Budget_Revenue[[#This Row],[Current Annual]]/($F$1*12),2)),0,(ROUND(Budget_Revenue[[#This Row],[Current Annual]]/($F$1*12),2)))</f>
        <v>0</v>
      </c>
      <c r="F13" s="89"/>
      <c r="G13" s="201">
        <f>SUM(Budget_Revenue[[#This Row],[Current Monthly]]-Budget_Revenue[[#This Row],[Prior Monthly]])</f>
        <v>0</v>
      </c>
      <c r="H13" s="160"/>
      <c r="I13" s="267"/>
      <c r="J13" s="3"/>
      <c r="K13" s="3"/>
    </row>
    <row r="14" spans="1:11" x14ac:dyDescent="0.25">
      <c r="A14" s="113"/>
      <c r="B14" s="197">
        <f>IF(ISERROR(ROUND(Budget_Revenue[[#This Row],[Prior Annual]]/($F$1*12),2)),0,ROUND(Budget_Revenue[[#This Row],[Prior Annual]]/($F$1*12),2))</f>
        <v>0</v>
      </c>
      <c r="C14" s="26"/>
      <c r="D14" s="26"/>
      <c r="E14" s="199">
        <f>IF(ISERROR(ROUND(Budget_Revenue[[#This Row],[Current Annual]]/($F$1*12),2)),0,(ROUND(Budget_Revenue[[#This Row],[Current Annual]]/($F$1*12),2)))</f>
        <v>0</v>
      </c>
      <c r="F14" s="89"/>
      <c r="G14" s="201">
        <f>SUM(Budget_Revenue[[#This Row],[Current Monthly]]-Budget_Revenue[[#This Row],[Prior Monthly]])</f>
        <v>0</v>
      </c>
      <c r="H14" s="160"/>
      <c r="I14" s="267"/>
      <c r="J14" s="3"/>
      <c r="K14" s="3"/>
    </row>
    <row r="15" spans="1:11" x14ac:dyDescent="0.25">
      <c r="A15" s="113"/>
      <c r="B15" s="197">
        <f>IF(ISERROR(ROUND(Budget_Revenue[[#This Row],[Prior Annual]]/($F$1*12),2)),0,ROUND(Budget_Revenue[[#This Row],[Prior Annual]]/($F$1*12),2))</f>
        <v>0</v>
      </c>
      <c r="C15" s="26"/>
      <c r="D15" s="26"/>
      <c r="E15" s="199">
        <f>IF(ISERROR(ROUND(Budget_Revenue[[#This Row],[Current Annual]]/($F$1*12),2)),0,(ROUND(Budget_Revenue[[#This Row],[Current Annual]]/($F$1*12),2)))</f>
        <v>0</v>
      </c>
      <c r="F15" s="89"/>
      <c r="G15" s="201">
        <f>SUM(Budget_Revenue[[#This Row],[Current Monthly]]-Budget_Revenue[[#This Row],[Prior Monthly]])</f>
        <v>0</v>
      </c>
      <c r="H15" s="160"/>
      <c r="I15" s="267"/>
      <c r="J15" s="3"/>
      <c r="K15" s="3"/>
    </row>
    <row r="16" spans="1:11" x14ac:dyDescent="0.25">
      <c r="A16" s="113"/>
      <c r="B16" s="197">
        <f>IF(ISERROR(ROUND(Budget_Revenue[[#This Row],[Prior Annual]]/($F$1*12),2)),0,ROUND(Budget_Revenue[[#This Row],[Prior Annual]]/($F$1*12),2))</f>
        <v>0</v>
      </c>
      <c r="C16" s="26"/>
      <c r="D16" s="26"/>
      <c r="E16" s="199">
        <f>IF(ISERROR(ROUND(Budget_Revenue[[#This Row],[Current Annual]]/($F$1*12),2)),0,(ROUND(Budget_Revenue[[#This Row],[Current Annual]]/($F$1*12),2)))</f>
        <v>0</v>
      </c>
      <c r="F16" s="89"/>
      <c r="G16" s="201">
        <f>SUM(Budget_Revenue[[#This Row],[Current Monthly]]-Budget_Revenue[[#This Row],[Prior Monthly]])</f>
        <v>0</v>
      </c>
      <c r="H16" s="160"/>
      <c r="I16" s="267"/>
      <c r="J16" s="3"/>
      <c r="K16" s="3"/>
    </row>
    <row r="17" spans="1:11" x14ac:dyDescent="0.25">
      <c r="A17" s="113"/>
      <c r="B17" s="197">
        <f>IF(ISERROR(ROUND(Budget_Revenue[[#This Row],[Prior Annual]]/($F$1*12),2)),0,ROUND(Budget_Revenue[[#This Row],[Prior Annual]]/($F$1*12),2))</f>
        <v>0</v>
      </c>
      <c r="C17" s="26"/>
      <c r="D17" s="26"/>
      <c r="E17" s="199">
        <f>IF(ISERROR(ROUND(Budget_Revenue[[#This Row],[Current Annual]]/($F$1*12),2)),0,(ROUND(Budget_Revenue[[#This Row],[Current Annual]]/($F$1*12),2)))</f>
        <v>0</v>
      </c>
      <c r="F17" s="89"/>
      <c r="G17" s="201">
        <f>SUM(Budget_Revenue[[#This Row],[Current Monthly]]-Budget_Revenue[[#This Row],[Prior Monthly]])</f>
        <v>0</v>
      </c>
      <c r="H17" s="160"/>
      <c r="I17" s="267"/>
      <c r="J17" s="3"/>
      <c r="K17" s="3"/>
    </row>
    <row r="18" spans="1:11" x14ac:dyDescent="0.25">
      <c r="A18" s="113"/>
      <c r="B18" s="197">
        <f>IF(ISERROR(ROUND(Budget_Revenue[[#This Row],[Prior Annual]]/($F$1*12),2)),0,ROUND(Budget_Revenue[[#This Row],[Prior Annual]]/($F$1*12),2))</f>
        <v>0</v>
      </c>
      <c r="C18" s="26"/>
      <c r="D18" s="26"/>
      <c r="E18" s="199">
        <f>IF(ISERROR(ROUND(Budget_Revenue[[#This Row],[Current Annual]]/($F$1*12),2)),0,(ROUND(Budget_Revenue[[#This Row],[Current Annual]]/($F$1*12),2)))</f>
        <v>0</v>
      </c>
      <c r="F18" s="89"/>
      <c r="G18" s="201">
        <f>SUM(Budget_Revenue[[#This Row],[Current Monthly]]-Budget_Revenue[[#This Row],[Prior Monthly]])</f>
        <v>0</v>
      </c>
      <c r="H18" s="160"/>
      <c r="I18" s="267"/>
      <c r="J18" s="3"/>
      <c r="K18" s="3"/>
    </row>
    <row r="19" spans="1:11" x14ac:dyDescent="0.25">
      <c r="A19" s="31" t="s">
        <v>59</v>
      </c>
      <c r="B19" s="198">
        <f>SUBTOTAL(109,Budget_Revenue[Prior Monthly])</f>
        <v>0</v>
      </c>
      <c r="C19" s="34">
        <f>SUBTOTAL(109,Budget_Revenue[Prior Annual])</f>
        <v>0</v>
      </c>
      <c r="D19" s="34">
        <f>SUBTOTAL(109,Budget_Revenue[Prior Actual])</f>
        <v>0</v>
      </c>
      <c r="E19" s="198">
        <f>SUBTOTAL(109,Budget_Revenue[Current Monthly])</f>
        <v>0</v>
      </c>
      <c r="F19" s="37">
        <f>SUBTOTAL(109,Budget_Revenue[Current Annual])</f>
        <v>0</v>
      </c>
      <c r="G19" s="198">
        <f>SUBTOTAL(109,Budget_Revenue[Monthly  Change])</f>
        <v>0</v>
      </c>
      <c r="H19" s="160"/>
      <c r="I19" s="160"/>
    </row>
    <row r="20" spans="1:11" x14ac:dyDescent="0.25">
      <c r="A20" s="7"/>
      <c r="B20" s="28"/>
      <c r="C20" s="28"/>
      <c r="D20" s="28"/>
      <c r="E20" s="10"/>
      <c r="F20" s="10"/>
      <c r="G20" s="10"/>
      <c r="H20" s="160"/>
      <c r="I20" s="160"/>
    </row>
    <row r="21" spans="1:11" x14ac:dyDescent="0.25">
      <c r="A21" s="7"/>
      <c r="B21" s="28"/>
      <c r="C21" s="28"/>
      <c r="D21" s="28"/>
      <c r="E21" s="10"/>
      <c r="F21" s="10"/>
      <c r="G21" s="10"/>
      <c r="H21" s="160"/>
      <c r="I21" s="160"/>
    </row>
    <row r="22" spans="1:11" x14ac:dyDescent="0.25">
      <c r="A22" s="72" t="s">
        <v>48</v>
      </c>
      <c r="B22" s="237" t="s">
        <v>47</v>
      </c>
      <c r="C22" s="238" t="s">
        <v>48</v>
      </c>
      <c r="D22" s="238" t="s">
        <v>48</v>
      </c>
      <c r="E22" s="237" t="s">
        <v>47</v>
      </c>
      <c r="F22" s="238" t="s">
        <v>48</v>
      </c>
      <c r="G22" s="237" t="s">
        <v>47</v>
      </c>
      <c r="H22" s="160"/>
      <c r="I22" s="160"/>
      <c r="J22" s="3"/>
      <c r="K22" s="3"/>
    </row>
    <row r="23" spans="1:11" x14ac:dyDescent="0.25">
      <c r="A23" s="236" t="s">
        <v>29</v>
      </c>
      <c r="B23" s="239" t="s">
        <v>18</v>
      </c>
      <c r="C23" s="240" t="s">
        <v>19</v>
      </c>
      <c r="D23" s="240" t="s">
        <v>20</v>
      </c>
      <c r="E23" s="241" t="s">
        <v>21</v>
      </c>
      <c r="F23" s="242" t="s">
        <v>22</v>
      </c>
      <c r="G23" s="242" t="s">
        <v>27</v>
      </c>
      <c r="H23" s="160"/>
      <c r="I23" s="160"/>
      <c r="J23" s="3"/>
      <c r="K23" s="3"/>
    </row>
    <row r="24" spans="1:11" x14ac:dyDescent="0.25">
      <c r="A24" s="90" t="s">
        <v>28</v>
      </c>
      <c r="B24" s="202">
        <f>IF(ISERROR(ROUND(Operation_Expenses[[#This Row],[Prior Annual]]/($F$1*12),2)),0,ROUND(Operation_Expenses[[#This Row],[Prior Annual]]/($F$1*12),2))</f>
        <v>0</v>
      </c>
      <c r="C24" s="27"/>
      <c r="D24" s="27"/>
      <c r="E24" s="200">
        <f>IF(ISERROR(ROUND(Operation_Expenses[[#This Row],[Current Annual]]/($F$1*12),2)),0,(ROUND(Operation_Expenses[[#This Row],[Current Annual]]/($F$1*12),2)))</f>
        <v>0</v>
      </c>
      <c r="F24" s="14"/>
      <c r="G24" s="200">
        <f>SUM(Operation_Expenses[[#This Row],[Current Monthly]]-Operation_Expenses[[#This Row],[Prior Monthly]])</f>
        <v>0</v>
      </c>
      <c r="H24" s="160"/>
      <c r="I24" s="160"/>
      <c r="J24" s="3"/>
      <c r="K24" s="3"/>
    </row>
    <row r="25" spans="1:11" x14ac:dyDescent="0.25">
      <c r="A25" s="113"/>
      <c r="B25" s="202">
        <f>IF(ISERROR(ROUND(Operation_Expenses[[#This Row],[Prior Annual]]/($F$1*12),2)),0,ROUND(Operation_Expenses[[#This Row],[Prior Annual]]/($F$1*12),2))</f>
        <v>0</v>
      </c>
      <c r="C25" s="27"/>
      <c r="D25" s="27"/>
      <c r="E25" s="200">
        <f>IF(ISERROR(ROUND(Operation_Expenses[[#This Row],[Current Annual]]/($F$1*12),2)),0,(ROUND(Operation_Expenses[[#This Row],[Current Annual]]/($F$1*12),2)))</f>
        <v>0</v>
      </c>
      <c r="F25" s="14"/>
      <c r="G25" s="200">
        <f>SUM(Operation_Expenses[[#This Row],[Current Monthly]]-Operation_Expenses[[#This Row],[Prior Monthly]])</f>
        <v>0</v>
      </c>
      <c r="H25" s="160"/>
      <c r="I25" s="160"/>
      <c r="J25" s="3"/>
      <c r="K25" s="3"/>
    </row>
    <row r="26" spans="1:11" x14ac:dyDescent="0.25">
      <c r="A26" s="113"/>
      <c r="B26" s="202">
        <f>IF(ISERROR(ROUND(Operation_Expenses[[#This Row],[Prior Annual]]/($F$1*12),2)),0,ROUND(Operation_Expenses[[#This Row],[Prior Annual]]/($F$1*12),2))</f>
        <v>0</v>
      </c>
      <c r="C26" s="27"/>
      <c r="D26" s="27"/>
      <c r="E26" s="200">
        <f>IF(ISERROR(ROUND(Operation_Expenses[[#This Row],[Current Annual]]/($F$1*12),2)),0,(ROUND(Operation_Expenses[[#This Row],[Current Annual]]/($F$1*12),2)))</f>
        <v>0</v>
      </c>
      <c r="F26" s="14"/>
      <c r="G26" s="200">
        <f>SUM(Operation_Expenses[[#This Row],[Current Monthly]]-Operation_Expenses[[#This Row],[Prior Monthly]])</f>
        <v>0</v>
      </c>
      <c r="H26" s="160"/>
      <c r="I26" s="160"/>
      <c r="J26" s="3"/>
      <c r="K26" s="3"/>
    </row>
    <row r="27" spans="1:11" x14ac:dyDescent="0.25">
      <c r="A27" s="113"/>
      <c r="B27" s="202">
        <f>IF(ISERROR(ROUND(Operation_Expenses[[#This Row],[Prior Annual]]/($F$1*12),2)),0,ROUND(Operation_Expenses[[#This Row],[Prior Annual]]/($F$1*12),2))</f>
        <v>0</v>
      </c>
      <c r="C27" s="27"/>
      <c r="D27" s="27"/>
      <c r="E27" s="200">
        <f>IF(ISERROR(ROUND(Operation_Expenses[[#This Row],[Current Annual]]/($F$1*12),2)),0,(ROUND(Operation_Expenses[[#This Row],[Current Annual]]/($F$1*12),2)))</f>
        <v>0</v>
      </c>
      <c r="F27" s="14"/>
      <c r="G27" s="200">
        <f>SUM(Operation_Expenses[[#This Row],[Current Monthly]]-Operation_Expenses[[#This Row],[Prior Monthly]])</f>
        <v>0</v>
      </c>
      <c r="H27" s="160"/>
      <c r="I27" s="160"/>
      <c r="J27" s="3"/>
      <c r="K27" s="3"/>
    </row>
    <row r="28" spans="1:11" x14ac:dyDescent="0.25">
      <c r="A28" s="113"/>
      <c r="B28" s="202">
        <f>IF(ISERROR(ROUND(Operation_Expenses[[#This Row],[Prior Annual]]/($F$1*12),2)),0,ROUND(Operation_Expenses[[#This Row],[Prior Annual]]/($F$1*12),2))</f>
        <v>0</v>
      </c>
      <c r="C28" s="27"/>
      <c r="D28" s="27"/>
      <c r="E28" s="200">
        <f>IF(ISERROR(ROUND(Operation_Expenses[[#This Row],[Current Annual]]/($F$1*12),2)),0,(ROUND(Operation_Expenses[[#This Row],[Current Annual]]/($F$1*12),2)))</f>
        <v>0</v>
      </c>
      <c r="F28" s="14"/>
      <c r="G28" s="200">
        <f>SUM(Operation_Expenses[[#This Row],[Current Monthly]]-Operation_Expenses[[#This Row],[Prior Monthly]])</f>
        <v>0</v>
      </c>
      <c r="H28" s="160"/>
      <c r="I28" s="160"/>
      <c r="J28" s="3"/>
      <c r="K28" s="3"/>
    </row>
    <row r="29" spans="1:11" x14ac:dyDescent="0.25">
      <c r="A29" s="113"/>
      <c r="B29" s="202">
        <f>IF(ISERROR(ROUND(Operation_Expenses[[#This Row],[Prior Annual]]/($F$1*12),2)),0,ROUND(Operation_Expenses[[#This Row],[Prior Annual]]/($F$1*12),2))</f>
        <v>0</v>
      </c>
      <c r="C29" s="27"/>
      <c r="D29" s="27"/>
      <c r="E29" s="200">
        <f>IF(ISERROR(ROUND(Operation_Expenses[[#This Row],[Current Annual]]/($F$1*12),2)),0,(ROUND(Operation_Expenses[[#This Row],[Current Annual]]/($F$1*12),2)))</f>
        <v>0</v>
      </c>
      <c r="F29" s="14"/>
      <c r="G29" s="200">
        <f>SUM(Operation_Expenses[[#This Row],[Current Monthly]]-Operation_Expenses[[#This Row],[Prior Monthly]])</f>
        <v>0</v>
      </c>
      <c r="H29" s="160"/>
      <c r="I29" s="160"/>
      <c r="J29" s="3"/>
      <c r="K29" s="3"/>
    </row>
    <row r="30" spans="1:11" x14ac:dyDescent="0.25">
      <c r="A30" s="113"/>
      <c r="B30" s="202">
        <f>IF(ISERROR(ROUND(Operation_Expenses[[#This Row],[Prior Annual]]/($F$1*12),2)),0,ROUND(Operation_Expenses[[#This Row],[Prior Annual]]/($F$1*12),2))</f>
        <v>0</v>
      </c>
      <c r="C30" s="27"/>
      <c r="D30" s="27"/>
      <c r="E30" s="200">
        <f>IF(ISERROR(ROUND(Operation_Expenses[[#This Row],[Current Annual]]/($F$1*12),2)),0,(ROUND(Operation_Expenses[[#This Row],[Current Annual]]/($F$1*12),2)))</f>
        <v>0</v>
      </c>
      <c r="F30" s="14"/>
      <c r="G30" s="200">
        <f>SUM(Operation_Expenses[[#This Row],[Current Monthly]]-Operation_Expenses[[#This Row],[Prior Monthly]])</f>
        <v>0</v>
      </c>
      <c r="H30" s="160"/>
      <c r="I30" s="160"/>
      <c r="J30" s="3"/>
      <c r="K30" s="3"/>
    </row>
    <row r="31" spans="1:11" x14ac:dyDescent="0.25">
      <c r="A31" s="113"/>
      <c r="B31" s="203">
        <f>IF(ISERROR(ROUND(Operation_Expenses[[#This Row],[Prior Annual]]/($F$1*12),2)),0,ROUND(Operation_Expenses[[#This Row],[Prior Annual]]/($F$1*12),2))</f>
        <v>0</v>
      </c>
      <c r="C31" s="33"/>
      <c r="D31" s="33"/>
      <c r="E31" s="200">
        <f>IF(ISERROR(ROUND(Operation_Expenses[[#This Row],[Current Annual]]/($F$1*12),2)),0,(ROUND(Operation_Expenses[[#This Row],[Current Annual]]/($F$1*12),2)))</f>
        <v>0</v>
      </c>
      <c r="F31" s="14"/>
      <c r="G31" s="201">
        <f>SUM(Operation_Expenses[[#This Row],[Current Monthly]]-Operation_Expenses[[#This Row],[Prior Monthly]])</f>
        <v>0</v>
      </c>
      <c r="H31" s="160"/>
      <c r="I31" s="160"/>
      <c r="J31" s="3"/>
      <c r="K31" s="3"/>
    </row>
    <row r="32" spans="1:11" x14ac:dyDescent="0.25">
      <c r="A32" s="113"/>
      <c r="B32" s="203">
        <f>IF(ISERROR(ROUND(Operation_Expenses[[#This Row],[Prior Annual]]/($F$1*12),2)),0,ROUND(Operation_Expenses[[#This Row],[Prior Annual]]/($F$1*12),2))</f>
        <v>0</v>
      </c>
      <c r="C32" s="33"/>
      <c r="D32" s="33"/>
      <c r="E32" s="200">
        <f>IF(ISERROR(ROUND(Operation_Expenses[[#This Row],[Current Annual]]/($F$1*12),2)),0,(ROUND(Operation_Expenses[[#This Row],[Current Annual]]/($F$1*12),2)))</f>
        <v>0</v>
      </c>
      <c r="F32" s="14"/>
      <c r="G32" s="201">
        <f>SUM(Operation_Expenses[[#This Row],[Current Monthly]]-Operation_Expenses[[#This Row],[Prior Monthly]])</f>
        <v>0</v>
      </c>
      <c r="H32" s="160"/>
      <c r="I32" s="160"/>
      <c r="J32" s="3"/>
      <c r="K32" s="3"/>
    </row>
    <row r="33" spans="1:11" x14ac:dyDescent="0.25">
      <c r="A33" s="113"/>
      <c r="B33" s="203">
        <f>IF(ISERROR(ROUND(Operation_Expenses[[#This Row],[Prior Annual]]/($F$1*12),2)),0,ROUND(Operation_Expenses[[#This Row],[Prior Annual]]/($F$1*12),2))</f>
        <v>0</v>
      </c>
      <c r="C33" s="33"/>
      <c r="D33" s="33"/>
      <c r="E33" s="200">
        <f>IF(ISERROR(ROUND(Operation_Expenses[[#This Row],[Current Annual]]/($F$1*12),2)),0,(ROUND(Operation_Expenses[[#This Row],[Current Annual]]/($F$1*12),2)))</f>
        <v>0</v>
      </c>
      <c r="F33" s="14"/>
      <c r="G33" s="201">
        <f>SUM(Operation_Expenses[[#This Row],[Current Monthly]]-Operation_Expenses[[#This Row],[Prior Monthly]])</f>
        <v>0</v>
      </c>
      <c r="H33" s="160"/>
      <c r="I33" s="160"/>
      <c r="J33" s="3"/>
      <c r="K33" s="3"/>
    </row>
    <row r="34" spans="1:11" x14ac:dyDescent="0.25">
      <c r="A34" s="113"/>
      <c r="B34" s="203">
        <f>IF(ISERROR(ROUND(Operation_Expenses[[#This Row],[Prior Annual]]/($F$1*12),2)),0,ROUND(Operation_Expenses[[#This Row],[Prior Annual]]/($F$1*12),2))</f>
        <v>0</v>
      </c>
      <c r="C34" s="33"/>
      <c r="D34" s="33"/>
      <c r="E34" s="200">
        <f>IF(ISERROR(ROUND(Operation_Expenses[[#This Row],[Current Annual]]/($F$1*12),2)),0,(ROUND(Operation_Expenses[[#This Row],[Current Annual]]/($F$1*12),2)))</f>
        <v>0</v>
      </c>
      <c r="F34" s="14"/>
      <c r="G34" s="201">
        <f>SUM(Operation_Expenses[[#This Row],[Current Monthly]]-Operation_Expenses[[#This Row],[Prior Monthly]])</f>
        <v>0</v>
      </c>
      <c r="H34" s="160"/>
      <c r="I34" s="160"/>
      <c r="J34" s="3"/>
      <c r="K34" s="3"/>
    </row>
    <row r="35" spans="1:11" x14ac:dyDescent="0.25">
      <c r="A35" s="113"/>
      <c r="B35" s="203">
        <f>IF(ISERROR(ROUND(Operation_Expenses[[#This Row],[Prior Annual]]/($F$1*12),2)),0,ROUND(Operation_Expenses[[#This Row],[Prior Annual]]/($F$1*12),2))</f>
        <v>0</v>
      </c>
      <c r="C35" s="33"/>
      <c r="D35" s="33"/>
      <c r="E35" s="200">
        <f>IF(ISERROR(ROUND(Operation_Expenses[[#This Row],[Current Annual]]/($F$1*12),2)),0,(ROUND(Operation_Expenses[[#This Row],[Current Annual]]/($F$1*12),2)))</f>
        <v>0</v>
      </c>
      <c r="F35" s="14"/>
      <c r="G35" s="201">
        <f>SUM(Operation_Expenses[[#This Row],[Current Monthly]]-Operation_Expenses[[#This Row],[Prior Monthly]])</f>
        <v>0</v>
      </c>
      <c r="H35" s="160"/>
      <c r="I35" s="160"/>
      <c r="J35" s="3"/>
      <c r="K35" s="3"/>
    </row>
    <row r="36" spans="1:11" x14ac:dyDescent="0.25">
      <c r="A36" s="113"/>
      <c r="B36" s="203">
        <f>IF(ISERROR(ROUND(Operation_Expenses[[#This Row],[Prior Annual]]/($F$1*12),2)),0,ROUND(Operation_Expenses[[#This Row],[Prior Annual]]/($F$1*12),2))</f>
        <v>0</v>
      </c>
      <c r="C36" s="33"/>
      <c r="D36" s="33"/>
      <c r="E36" s="200">
        <f>IF(ISERROR(ROUND(Operation_Expenses[[#This Row],[Current Annual]]/($F$1*12),2)),0,(ROUND(Operation_Expenses[[#This Row],[Current Annual]]/($F$1*12),2)))</f>
        <v>0</v>
      </c>
      <c r="F36" s="14"/>
      <c r="G36" s="201">
        <f>SUM(Operation_Expenses[[#This Row],[Current Monthly]]-Operation_Expenses[[#This Row],[Prior Monthly]])</f>
        <v>0</v>
      </c>
      <c r="H36" s="160"/>
      <c r="I36" s="160"/>
      <c r="J36" s="3"/>
      <c r="K36" s="3"/>
    </row>
    <row r="37" spans="1:11" x14ac:dyDescent="0.25">
      <c r="A37" s="113"/>
      <c r="B37" s="203">
        <f>IF(ISERROR(ROUND(Operation_Expenses[[#This Row],[Prior Annual]]/($F$1*12),2)),0,ROUND(Operation_Expenses[[#This Row],[Prior Annual]]/($F$1*12),2))</f>
        <v>0</v>
      </c>
      <c r="C37" s="33"/>
      <c r="D37" s="33"/>
      <c r="E37" s="200">
        <f>IF(ISERROR(ROUND(Operation_Expenses[[#This Row],[Current Annual]]/($F$1*12),2)),0,(ROUND(Operation_Expenses[[#This Row],[Current Annual]]/($F$1*12),2)))</f>
        <v>0</v>
      </c>
      <c r="F37" s="14"/>
      <c r="G37" s="201">
        <f>SUM(Operation_Expenses[[#This Row],[Current Monthly]]-Operation_Expenses[[#This Row],[Prior Monthly]])</f>
        <v>0</v>
      </c>
      <c r="H37" s="160"/>
      <c r="I37" s="160"/>
      <c r="J37" s="3"/>
      <c r="K37" s="3"/>
    </row>
    <row r="38" spans="1:11" x14ac:dyDescent="0.25">
      <c r="A38" s="113"/>
      <c r="B38" s="203">
        <f>IF(ISERROR(ROUND(Operation_Expenses[[#This Row],[Prior Annual]]/($F$1*12),2)),0,ROUND(Operation_Expenses[[#This Row],[Prior Annual]]/($F$1*12),2))</f>
        <v>0</v>
      </c>
      <c r="C38" s="33"/>
      <c r="D38" s="33"/>
      <c r="E38" s="200">
        <f>IF(ISERROR(ROUND(Operation_Expenses[[#This Row],[Current Annual]]/($F$1*12),2)),0,(ROUND(Operation_Expenses[[#This Row],[Current Annual]]/($F$1*12),2)))</f>
        <v>0</v>
      </c>
      <c r="F38" s="14"/>
      <c r="G38" s="201">
        <f>SUM(Operation_Expenses[[#This Row],[Current Monthly]]-Operation_Expenses[[#This Row],[Prior Monthly]])</f>
        <v>0</v>
      </c>
      <c r="H38" s="160"/>
      <c r="I38" s="160"/>
      <c r="J38" s="3"/>
      <c r="K38" s="3"/>
    </row>
    <row r="39" spans="1:11" s="2" customFormat="1" x14ac:dyDescent="0.25">
      <c r="A39" s="31" t="s">
        <v>30</v>
      </c>
      <c r="B39" s="204">
        <f>SUBTOTAL(109,Operation_Expenses[Prior Monthly])</f>
        <v>0</v>
      </c>
      <c r="C39" s="34">
        <f>SUBTOTAL(109,Operation_Expenses[Prior Annual])</f>
        <v>0</v>
      </c>
      <c r="D39" s="34">
        <f>SUBTOTAL(109,Operation_Expenses[Prior Actual])</f>
        <v>0</v>
      </c>
      <c r="E39" s="205">
        <f>SUBTOTAL(109,Operation_Expenses[Current Monthly])</f>
        <v>0</v>
      </c>
      <c r="F39" s="37">
        <f>SUBTOTAL(109,Operation_Expenses[Current Annual])</f>
        <v>0</v>
      </c>
      <c r="G39" s="206">
        <f>SUBTOTAL(109,Operation_Expenses[Monthly Change])</f>
        <v>0</v>
      </c>
      <c r="H39" s="268"/>
      <c r="I39" s="268"/>
    </row>
    <row r="40" spans="1:11" x14ac:dyDescent="0.25">
      <c r="A40" s="8"/>
      <c r="B40" s="29"/>
      <c r="C40" s="29"/>
      <c r="D40" s="29"/>
      <c r="E40" s="11"/>
      <c r="F40" s="11"/>
      <c r="G40" s="11"/>
      <c r="H40" s="160"/>
      <c r="I40" s="160"/>
      <c r="J40" s="3"/>
      <c r="K40" s="3"/>
    </row>
    <row r="41" spans="1:11" x14ac:dyDescent="0.25">
      <c r="A41" s="243" t="s">
        <v>80</v>
      </c>
      <c r="B41" s="237" t="s">
        <v>47</v>
      </c>
      <c r="C41" s="250" t="s">
        <v>48</v>
      </c>
      <c r="D41" s="250" t="s">
        <v>48</v>
      </c>
      <c r="E41" s="237" t="s">
        <v>47</v>
      </c>
      <c r="F41" s="250" t="s">
        <v>48</v>
      </c>
      <c r="G41" s="237" t="s">
        <v>47</v>
      </c>
      <c r="H41" s="160"/>
      <c r="I41" s="160"/>
      <c r="J41" s="3"/>
      <c r="K41" s="3"/>
    </row>
    <row r="42" spans="1:11" x14ac:dyDescent="0.25">
      <c r="A42" s="236" t="s">
        <v>26</v>
      </c>
      <c r="B42" s="251" t="s">
        <v>18</v>
      </c>
      <c r="C42" s="251" t="s">
        <v>19</v>
      </c>
      <c r="D42" s="251" t="s">
        <v>20</v>
      </c>
      <c r="E42" s="252" t="s">
        <v>21</v>
      </c>
      <c r="F42" s="252" t="s">
        <v>22</v>
      </c>
      <c r="G42" s="252" t="s">
        <v>27</v>
      </c>
      <c r="H42" s="160"/>
      <c r="I42" s="160"/>
      <c r="J42" s="3"/>
      <c r="K42" s="3"/>
    </row>
    <row r="43" spans="1:11" x14ac:dyDescent="0.25">
      <c r="A43" s="90" t="s">
        <v>62</v>
      </c>
      <c r="B43" s="207">
        <f>IF(ISERROR(ROUND(Reserve_Expenses[[#This Row],[Prior Annual]]/($F$1*12),2)),0,(ROUND(Reserve_Expenses[[#This Row],[Prior Annual]]/($F$1*12),2)))</f>
        <v>0</v>
      </c>
      <c r="C43" s="230"/>
      <c r="D43" s="230"/>
      <c r="E43" s="200">
        <f>IF(ISERROR(ROUND(Reserve_Expenses[[#This Row],[Current Annual]]/($F$1*12),2)),0,(ROUND(Reserve_Expenses[[#This Row],[Current Annual]]/($F$1*12),2)))</f>
        <v>0</v>
      </c>
      <c r="F43" s="118"/>
      <c r="G43" s="200">
        <f>SUM(Reserve_Expenses[[#This Row],[Current Monthly]]-Reserve_Expenses[[#This Row],[Prior Monthly]])</f>
        <v>0</v>
      </c>
      <c r="H43" s="160"/>
      <c r="I43" s="160"/>
      <c r="J43" s="3"/>
      <c r="K43" s="3"/>
    </row>
    <row r="44" spans="1:11" x14ac:dyDescent="0.25">
      <c r="A44" s="117">
        <f>'RESERVE ANALYSIS'!A7</f>
        <v>0</v>
      </c>
      <c r="B44" s="207">
        <f>IF(ISERROR(ROUND(Reserve_Expenses[[#This Row],[Prior Annual]]/($F$1*12),2)),0,(ROUND(Reserve_Expenses[[#This Row],[Prior Annual]]/($F$1*12),2)))</f>
        <v>0</v>
      </c>
      <c r="C44" s="230"/>
      <c r="D44" s="231"/>
      <c r="E44" s="200">
        <f>IF(ISERROR(ROUND(Reserve_Expenses[[#This Row],[Current Annual]]/($F$1*12),2)),0,(ROUND(Reserve_Expenses[[#This Row],[Current Annual]]/($F$1*12),2)))</f>
        <v>0</v>
      </c>
      <c r="F44" s="118"/>
      <c r="G44" s="200">
        <f>SUM(Reserve_Expenses[[#This Row],[Current Monthly]]-Reserve_Expenses[[#This Row],[Prior Monthly]])</f>
        <v>0</v>
      </c>
      <c r="H44" s="160"/>
      <c r="I44" s="160"/>
      <c r="J44" s="3"/>
      <c r="K44" s="3"/>
    </row>
    <row r="45" spans="1:11" x14ac:dyDescent="0.25">
      <c r="A45" s="117">
        <f>'RESERVE ANALYSIS'!A8</f>
        <v>0</v>
      </c>
      <c r="B45" s="207">
        <f>IF(ISERROR(ROUND(Reserve_Expenses[[#This Row],[Prior Annual]]/($F$1*12),2)),0,(ROUND(Reserve_Expenses[[#This Row],[Prior Annual]]/($F$1*12),2)))</f>
        <v>0</v>
      </c>
      <c r="C45" s="230"/>
      <c r="D45" s="232"/>
      <c r="E45" s="200">
        <f>IF(ISERROR(ROUND(Reserve_Expenses[[#This Row],[Current Annual]]/($F$1*12),2)),0,(ROUND(Reserve_Expenses[[#This Row],[Current Annual]]/($F$1*12),2)))</f>
        <v>0</v>
      </c>
      <c r="F45" s="118"/>
      <c r="G45" s="200">
        <f>SUM(Reserve_Expenses[[#This Row],[Current Monthly]]-Reserve_Expenses[[#This Row],[Prior Monthly]])</f>
        <v>0</v>
      </c>
      <c r="H45" s="160"/>
      <c r="I45" s="160"/>
      <c r="J45" s="3"/>
      <c r="K45" s="3"/>
    </row>
    <row r="46" spans="1:11" x14ac:dyDescent="0.25">
      <c r="A46" s="117">
        <f>'RESERVE ANALYSIS'!A9</f>
        <v>0</v>
      </c>
      <c r="B46" s="207">
        <f>IF(ISERROR(ROUND(Reserve_Expenses[[#This Row],[Prior Annual]]/($F$1*12),2)),0,(ROUND(Reserve_Expenses[[#This Row],[Prior Annual]]/($F$1*12),2)))</f>
        <v>0</v>
      </c>
      <c r="C46" s="230"/>
      <c r="D46" s="232"/>
      <c r="E46" s="200">
        <f>IF(ISERROR(ROUND(Reserve_Expenses[[#This Row],[Current Annual]]/($F$1*12),2)),0,(ROUND(Reserve_Expenses[[#This Row],[Current Annual]]/($F$1*12),2)))</f>
        <v>0</v>
      </c>
      <c r="F46" s="118"/>
      <c r="G46" s="200">
        <f>SUM(Reserve_Expenses[[#This Row],[Current Monthly]]-Reserve_Expenses[[#This Row],[Prior Monthly]])</f>
        <v>0</v>
      </c>
      <c r="H46" s="160"/>
      <c r="I46" s="269" t="s">
        <v>61</v>
      </c>
      <c r="J46" s="3"/>
      <c r="K46" s="3"/>
    </row>
    <row r="47" spans="1:11" x14ac:dyDescent="0.25">
      <c r="A47" s="117">
        <f>'RESERVE ANALYSIS'!A10</f>
        <v>0</v>
      </c>
      <c r="B47" s="207">
        <f>IF(ISERROR(ROUND(Reserve_Expenses[[#This Row],[Prior Annual]]/($F$1*12),2)),0,(ROUND(Reserve_Expenses[[#This Row],[Prior Annual]]/($F$1*12),2)))</f>
        <v>0</v>
      </c>
      <c r="C47" s="230"/>
      <c r="D47" s="232"/>
      <c r="E47" s="200">
        <f>IF(ISERROR(ROUND(Reserve_Expenses[[#This Row],[Current Annual]]/($F$1*12),2)),0,(ROUND(Reserve_Expenses[[#This Row],[Current Annual]]/($F$1*12),2)))</f>
        <v>0</v>
      </c>
      <c r="F47" s="118"/>
      <c r="G47" s="200">
        <f>SUM(Reserve_Expenses[[#This Row],[Current Monthly]]-Reserve_Expenses[[#This Row],[Prior Monthly]])</f>
        <v>0</v>
      </c>
      <c r="H47" s="160"/>
      <c r="I47" s="270"/>
      <c r="J47" s="3"/>
      <c r="K47" s="3"/>
    </row>
    <row r="48" spans="1:11" x14ac:dyDescent="0.25">
      <c r="A48" s="117">
        <f>'RESERVE ANALYSIS'!A11</f>
        <v>0</v>
      </c>
      <c r="B48" s="207">
        <f>IF(ISERROR(ROUND(Reserve_Expenses[[#This Row],[Prior Annual]]/($F$1*12),2)),0,(ROUND(Reserve_Expenses[[#This Row],[Prior Annual]]/($F$1*12),2)))</f>
        <v>0</v>
      </c>
      <c r="C48" s="230"/>
      <c r="D48" s="232"/>
      <c r="E48" s="200">
        <f>IF(ISERROR(ROUND(Reserve_Expenses[[#This Row],[Current Annual]]/($F$1*12),2)),0,(ROUND(Reserve_Expenses[[#This Row],[Current Annual]]/($F$1*12),2)))</f>
        <v>0</v>
      </c>
      <c r="F48" s="118"/>
      <c r="G48" s="200">
        <f>SUM(Reserve_Expenses[[#This Row],[Current Monthly]]-Reserve_Expenses[[#This Row],[Prior Monthly]])</f>
        <v>0</v>
      </c>
      <c r="H48" s="160"/>
      <c r="I48" s="160"/>
      <c r="J48" s="3"/>
      <c r="K48" s="3"/>
    </row>
    <row r="49" spans="1:11" x14ac:dyDescent="0.25">
      <c r="A49" s="117">
        <f>'RESERVE ANALYSIS'!A12</f>
        <v>0</v>
      </c>
      <c r="B49" s="207">
        <f>IF(ISERROR(ROUND(Reserve_Expenses[[#This Row],[Prior Annual]]/($F$1*12),2)),0,(ROUND(Reserve_Expenses[[#This Row],[Prior Annual]]/($F$1*12),2)))</f>
        <v>0</v>
      </c>
      <c r="C49" s="230"/>
      <c r="D49" s="231"/>
      <c r="E49" s="200">
        <f>IF(ISERROR(ROUND(Reserve_Expenses[[#This Row],[Current Annual]]/($F$1*12),2)),0,(ROUND(Reserve_Expenses[[#This Row],[Current Annual]]/($F$1*12),2)))</f>
        <v>0</v>
      </c>
      <c r="F49" s="118"/>
      <c r="G49" s="200">
        <f>SUM(Reserve_Expenses[[#This Row],[Current Monthly]]-Reserve_Expenses[[#This Row],[Prior Monthly]])</f>
        <v>0</v>
      </c>
      <c r="H49" s="160"/>
      <c r="I49" s="160"/>
      <c r="J49" s="3"/>
      <c r="K49" s="3"/>
    </row>
    <row r="50" spans="1:11" x14ac:dyDescent="0.25">
      <c r="A50" s="117">
        <f>'RESERVE ANALYSIS'!A13</f>
        <v>0</v>
      </c>
      <c r="B50" s="207">
        <f>IF(ISERROR(ROUND(Reserve_Expenses[[#This Row],[Prior Annual]]/($F$1*12),2)),0,(ROUND(Reserve_Expenses[[#This Row],[Prior Annual]]/($F$1*12),2)))</f>
        <v>0</v>
      </c>
      <c r="C50" s="230"/>
      <c r="D50" s="231"/>
      <c r="E50" s="200">
        <f>IF(ISERROR(ROUND(Reserve_Expenses[[#This Row],[Current Annual]]/($F$1*12),2)),0,(ROUND(Reserve_Expenses[[#This Row],[Current Annual]]/($F$1*12),2)))</f>
        <v>0</v>
      </c>
      <c r="F50" s="118"/>
      <c r="G50" s="200">
        <f>SUM(Reserve_Expenses[[#This Row],[Current Monthly]]-Reserve_Expenses[[#This Row],[Prior Monthly]])</f>
        <v>0</v>
      </c>
      <c r="H50" s="160"/>
      <c r="I50" s="160"/>
      <c r="J50" s="3"/>
      <c r="K50" s="3"/>
    </row>
    <row r="51" spans="1:11" x14ac:dyDescent="0.25">
      <c r="A51" s="117">
        <f>'RESERVE ANALYSIS'!A14</f>
        <v>0</v>
      </c>
      <c r="B51" s="207">
        <f>IF(ISERROR(ROUND(Reserve_Expenses[[#This Row],[Prior Annual]]/($F$1*12),2)),0,(ROUND(Reserve_Expenses[[#This Row],[Prior Annual]]/($F$1*12),2)))</f>
        <v>0</v>
      </c>
      <c r="C51" s="230"/>
      <c r="D51" s="231"/>
      <c r="E51" s="200">
        <f>IF(ISERROR(ROUND(Reserve_Expenses[[#This Row],[Current Annual]]/($F$1*12),2)),0,(ROUND(Reserve_Expenses[[#This Row],[Current Annual]]/($F$1*12),2)))</f>
        <v>0</v>
      </c>
      <c r="F51" s="118"/>
      <c r="G51" s="200">
        <f>SUM(Reserve_Expenses[[#This Row],[Current Monthly]]-Reserve_Expenses[[#This Row],[Prior Monthly]])</f>
        <v>0</v>
      </c>
      <c r="H51" s="160"/>
      <c r="I51" s="160"/>
      <c r="J51" s="3"/>
      <c r="K51" s="3"/>
    </row>
    <row r="52" spans="1:11" x14ac:dyDescent="0.25">
      <c r="A52" s="117">
        <f>'RESERVE ANALYSIS'!A15</f>
        <v>0</v>
      </c>
      <c r="B52" s="207">
        <f>IF(ISERROR(ROUND(Reserve_Expenses[[#This Row],[Prior Annual]]/($F$1*12),2)),0,(ROUND(Reserve_Expenses[[#This Row],[Prior Annual]]/($F$1*12),2)))</f>
        <v>0</v>
      </c>
      <c r="C52" s="230"/>
      <c r="D52" s="231"/>
      <c r="E52" s="200">
        <f>IF(ISERROR(ROUND(Reserve_Expenses[[#This Row],[Current Annual]]/($F$1*12),2)),0,(ROUND(Reserve_Expenses[[#This Row],[Current Annual]]/($F$1*12),2)))</f>
        <v>0</v>
      </c>
      <c r="F52" s="118"/>
      <c r="G52" s="200">
        <f>SUM(Reserve_Expenses[[#This Row],[Current Monthly]]-Reserve_Expenses[[#This Row],[Prior Monthly]])</f>
        <v>0</v>
      </c>
      <c r="H52" s="160"/>
      <c r="I52" s="160"/>
      <c r="J52" s="3"/>
      <c r="K52" s="3"/>
    </row>
    <row r="53" spans="1:11" x14ac:dyDescent="0.25">
      <c r="A53" s="117">
        <f>'RESERVE ANALYSIS'!A16</f>
        <v>0</v>
      </c>
      <c r="B53" s="207">
        <f>IF(ISERROR(ROUND(Reserve_Expenses[[#This Row],[Prior Annual]]/($F$1*12),2)),0,(ROUND(Reserve_Expenses[[#This Row],[Prior Annual]]/($F$1*12),2)))</f>
        <v>0</v>
      </c>
      <c r="C53" s="230"/>
      <c r="D53" s="231"/>
      <c r="E53" s="200">
        <f>IF(ISERROR(ROUND(Reserve_Expenses[[#This Row],[Current Annual]]/($F$1*12),2)),0,(ROUND(Reserve_Expenses[[#This Row],[Current Annual]]/($F$1*12),2)))</f>
        <v>0</v>
      </c>
      <c r="F53" s="118"/>
      <c r="G53" s="200">
        <f>SUM(Reserve_Expenses[[#This Row],[Current Monthly]]-Reserve_Expenses[[#This Row],[Prior Monthly]])</f>
        <v>0</v>
      </c>
      <c r="H53" s="160"/>
      <c r="I53" s="160"/>
      <c r="J53" s="3"/>
      <c r="K53" s="3"/>
    </row>
    <row r="54" spans="1:11" x14ac:dyDescent="0.25">
      <c r="A54" s="117">
        <f>'RESERVE ANALYSIS'!A17</f>
        <v>0</v>
      </c>
      <c r="B54" s="207">
        <f>IF(ISERROR(ROUND(Reserve_Expenses[[#This Row],[Prior Annual]]/($F$1*12),2)),0,(ROUND(Reserve_Expenses[[#This Row],[Prior Annual]]/($F$1*12),2)))</f>
        <v>0</v>
      </c>
      <c r="C54" s="230"/>
      <c r="D54" s="231"/>
      <c r="E54" s="200">
        <f>IF(ISERROR(ROUND(Reserve_Expenses[[#This Row],[Current Annual]]/($F$1*12),2)),0,(ROUND(Reserve_Expenses[[#This Row],[Current Annual]]/($F$1*12),2)))</f>
        <v>0</v>
      </c>
      <c r="F54" s="118"/>
      <c r="G54" s="200">
        <f>SUM(Reserve_Expenses[[#This Row],[Current Monthly]]-Reserve_Expenses[[#This Row],[Prior Monthly]])</f>
        <v>0</v>
      </c>
      <c r="H54" s="160"/>
      <c r="I54" s="160"/>
      <c r="J54" s="3"/>
      <c r="K54" s="3"/>
    </row>
    <row r="55" spans="1:11" x14ac:dyDescent="0.25">
      <c r="A55" s="117">
        <f>'RESERVE ANALYSIS'!A18</f>
        <v>0</v>
      </c>
      <c r="B55" s="207">
        <f>IF(ISERROR(ROUND(Reserve_Expenses[[#This Row],[Prior Annual]]/($F$1*12),2)),0,(ROUND(Reserve_Expenses[[#This Row],[Prior Annual]]/($F$1*12),2)))</f>
        <v>0</v>
      </c>
      <c r="C55" s="230"/>
      <c r="D55" s="231"/>
      <c r="E55" s="200">
        <f>IF(ISERROR(ROUND(Reserve_Expenses[[#This Row],[Current Annual]]/($F$1*12),2)),0,(ROUND(Reserve_Expenses[[#This Row],[Current Annual]]/($F$1*12),2)))</f>
        <v>0</v>
      </c>
      <c r="F55" s="118"/>
      <c r="G55" s="200">
        <f>SUM(Reserve_Expenses[[#This Row],[Current Monthly]]-Reserve_Expenses[[#This Row],[Prior Monthly]])</f>
        <v>0</v>
      </c>
      <c r="H55" s="160"/>
      <c r="I55" s="160"/>
      <c r="J55" s="3"/>
      <c r="K55" s="3"/>
    </row>
    <row r="56" spans="1:11" x14ac:dyDescent="0.25">
      <c r="A56" s="117">
        <f>'RESERVE ANALYSIS'!A19</f>
        <v>0</v>
      </c>
      <c r="B56" s="207">
        <f>IF(ISERROR(ROUND(Reserve_Expenses[[#This Row],[Prior Annual]]/($F$1*12),2)),0,(ROUND(Reserve_Expenses[[#This Row],[Prior Annual]]/($F$1*12),2)))</f>
        <v>0</v>
      </c>
      <c r="C56" s="230"/>
      <c r="D56" s="231"/>
      <c r="E56" s="200">
        <f>IF(ISERROR(ROUND(Reserve_Expenses[[#This Row],[Current Annual]]/($F$1*12),2)),0,(ROUND(Reserve_Expenses[[#This Row],[Current Annual]]/($F$1*12),2)))</f>
        <v>0</v>
      </c>
      <c r="F56" s="118"/>
      <c r="G56" s="200">
        <f>SUM(Reserve_Expenses[[#This Row],[Current Monthly]]-Reserve_Expenses[[#This Row],[Prior Monthly]])</f>
        <v>0</v>
      </c>
      <c r="H56" s="160"/>
      <c r="I56" s="160"/>
      <c r="J56" s="3"/>
      <c r="K56" s="3"/>
    </row>
    <row r="57" spans="1:11" x14ac:dyDescent="0.25">
      <c r="A57" s="117">
        <f>'RESERVE ANALYSIS'!A20</f>
        <v>0</v>
      </c>
      <c r="B57" s="207">
        <f>IF(ISERROR(ROUND(Reserve_Expenses[[#This Row],[Prior Annual]]/($F$1*12),2)),0,(ROUND(Reserve_Expenses[[#This Row],[Prior Annual]]/($F$1*12),2)))</f>
        <v>0</v>
      </c>
      <c r="C57" s="230"/>
      <c r="D57" s="231"/>
      <c r="E57" s="201">
        <f>IF(ISERROR(ROUND(Reserve_Expenses[[#This Row],[Current Annual]]/($F$1*12),2)),0,(ROUND(Reserve_Expenses[[#This Row],[Current Annual]]/($F$1*12),2)))</f>
        <v>0</v>
      </c>
      <c r="F57" s="244"/>
      <c r="G57" s="199">
        <f>SUM(Reserve_Expenses[[#This Row],[Current Monthly]]-Reserve_Expenses[[#This Row],[Prior Monthly]])</f>
        <v>0</v>
      </c>
      <c r="H57" s="160"/>
      <c r="I57" s="160"/>
      <c r="J57" s="3"/>
      <c r="K57" s="3"/>
    </row>
    <row r="58" spans="1:11" x14ac:dyDescent="0.25">
      <c r="A58" s="117">
        <f>'RESERVE ANALYSIS'!A21</f>
        <v>0</v>
      </c>
      <c r="B58" s="207">
        <f>IF(ISERROR(ROUND(Reserve_Expenses[[#This Row],[Prior Annual]]/($F$1*12),2)),0,(ROUND(Reserve_Expenses[[#This Row],[Prior Annual]]/($F$1*12),2)))</f>
        <v>0</v>
      </c>
      <c r="C58" s="230"/>
      <c r="D58" s="231"/>
      <c r="E58" s="201">
        <f>IF(ISERROR(ROUND(Reserve_Expenses[[#This Row],[Current Annual]]/($F$1*12),2)),0,(ROUND(Reserve_Expenses[[#This Row],[Current Annual]]/($F$1*12),2)))</f>
        <v>0</v>
      </c>
      <c r="F58" s="244"/>
      <c r="G58" s="199">
        <f>SUM(Reserve_Expenses[[#This Row],[Current Monthly]]-Reserve_Expenses[[#This Row],[Prior Monthly]])</f>
        <v>0</v>
      </c>
      <c r="H58" s="160"/>
      <c r="I58" s="160"/>
      <c r="J58" s="3"/>
      <c r="K58" s="3"/>
    </row>
    <row r="59" spans="1:11" x14ac:dyDescent="0.25">
      <c r="A59" s="117">
        <f>'RESERVE ANALYSIS'!A22</f>
        <v>0</v>
      </c>
      <c r="B59" s="207">
        <f>IF(ISERROR(ROUND(Reserve_Expenses[[#This Row],[Prior Annual]]/($F$1*12),2)),0,(ROUND(Reserve_Expenses[[#This Row],[Prior Annual]]/($F$1*12),2)))</f>
        <v>0</v>
      </c>
      <c r="C59" s="230"/>
      <c r="D59" s="231"/>
      <c r="E59" s="201">
        <f>IF(ISERROR(ROUND(Reserve_Expenses[[#This Row],[Current Annual]]/($F$1*12),2)),0,(ROUND(Reserve_Expenses[[#This Row],[Current Annual]]/($F$1*12),2)))</f>
        <v>0</v>
      </c>
      <c r="F59" s="244"/>
      <c r="G59" s="199">
        <f>SUM(Reserve_Expenses[[#This Row],[Current Monthly]]-Reserve_Expenses[[#This Row],[Prior Monthly]])</f>
        <v>0</v>
      </c>
      <c r="H59" s="160"/>
      <c r="I59" s="160"/>
      <c r="J59" s="3"/>
      <c r="K59" s="3"/>
    </row>
    <row r="60" spans="1:11" x14ac:dyDescent="0.25">
      <c r="A60" s="117">
        <f>'RESERVE ANALYSIS'!A23</f>
        <v>0</v>
      </c>
      <c r="B60" s="207">
        <f>IF(ISERROR(ROUND(Reserve_Expenses[[#This Row],[Prior Annual]]/($F$1*12),2)),0,(ROUND(Reserve_Expenses[[#This Row],[Prior Annual]]/($F$1*12),2)))</f>
        <v>0</v>
      </c>
      <c r="C60" s="230"/>
      <c r="D60" s="231"/>
      <c r="E60" s="201">
        <f>IF(ISERROR(ROUND(Reserve_Expenses[[#This Row],[Current Annual]]/($F$1*12),2)),0,(ROUND(Reserve_Expenses[[#This Row],[Current Annual]]/($F$1*12),2)))</f>
        <v>0</v>
      </c>
      <c r="F60" s="244"/>
      <c r="G60" s="199">
        <f>SUM(Reserve_Expenses[[#This Row],[Current Monthly]]-Reserve_Expenses[[#This Row],[Prior Monthly]])</f>
        <v>0</v>
      </c>
      <c r="H60" s="160"/>
      <c r="I60" s="160"/>
      <c r="J60" s="3"/>
      <c r="K60" s="3"/>
    </row>
    <row r="61" spans="1:11" x14ac:dyDescent="0.25">
      <c r="A61" s="117">
        <f>'RESERVE ANALYSIS'!A24</f>
        <v>0</v>
      </c>
      <c r="B61" s="207">
        <f>IF(ISERROR(ROUND(Reserve_Expenses[[#This Row],[Prior Annual]]/($F$1*12),2)),0,(ROUND(Reserve_Expenses[[#This Row],[Prior Annual]]/($F$1*12),2)))</f>
        <v>0</v>
      </c>
      <c r="C61" s="230"/>
      <c r="D61" s="231"/>
      <c r="E61" s="201">
        <f>IF(ISERROR(ROUND(Reserve_Expenses[[#This Row],[Current Annual]]/($F$1*12),2)),0,(ROUND(Reserve_Expenses[[#This Row],[Current Annual]]/($F$1*12),2)))</f>
        <v>0</v>
      </c>
      <c r="F61" s="244"/>
      <c r="G61" s="199">
        <f>SUM(Reserve_Expenses[[#This Row],[Current Monthly]]-Reserve_Expenses[[#This Row],[Prior Monthly]])</f>
        <v>0</v>
      </c>
      <c r="H61" s="160"/>
      <c r="I61" s="160"/>
      <c r="J61" s="3"/>
      <c r="K61" s="3"/>
    </row>
    <row r="62" spans="1:11" x14ac:dyDescent="0.25">
      <c r="A62" s="117">
        <f>'RESERVE ANALYSIS'!A25</f>
        <v>0</v>
      </c>
      <c r="B62" s="207">
        <f>IF(ISERROR(ROUND(Reserve_Expenses[[#This Row],[Prior Annual]]/($F$1*12),2)),0,(ROUND(Reserve_Expenses[[#This Row],[Prior Annual]]/($F$1*12),2)))</f>
        <v>0</v>
      </c>
      <c r="C62" s="230"/>
      <c r="D62" s="231"/>
      <c r="E62" s="201">
        <f>IF(ISERROR(ROUND(Reserve_Expenses[[#This Row],[Current Annual]]/($F$1*12),2)),0,(ROUND(Reserve_Expenses[[#This Row],[Current Annual]]/($F$1*12),2)))</f>
        <v>0</v>
      </c>
      <c r="F62" s="244"/>
      <c r="G62" s="199">
        <f>SUM(Reserve_Expenses[[#This Row],[Current Monthly]]-Reserve_Expenses[[#This Row],[Prior Monthly]])</f>
        <v>0</v>
      </c>
      <c r="H62" s="160"/>
      <c r="I62" s="160"/>
      <c r="J62" s="3"/>
      <c r="K62" s="3"/>
    </row>
    <row r="63" spans="1:11" x14ac:dyDescent="0.25">
      <c r="A63" s="117">
        <f>'RESERVE ANALYSIS'!A26</f>
        <v>0</v>
      </c>
      <c r="B63" s="207">
        <f>IF(ISERROR(ROUND(Reserve_Expenses[[#This Row],[Prior Annual]]/($F$1*12),2)),0,(ROUND(Reserve_Expenses[[#This Row],[Prior Annual]]/($F$1*12),2)))</f>
        <v>0</v>
      </c>
      <c r="C63" s="230"/>
      <c r="D63" s="231"/>
      <c r="E63" s="200">
        <f>IF(ISERROR(ROUND(Reserve_Expenses[[#This Row],[Current Annual]]/($F$1*12),2)),0,(ROUND(Reserve_Expenses[[#This Row],[Current Annual]]/($F$1*12),2)))</f>
        <v>0</v>
      </c>
      <c r="F63" s="118"/>
      <c r="G63" s="200">
        <f>SUM(Reserve_Expenses[[#This Row],[Current Monthly]]-Reserve_Expenses[[#This Row],[Prior Monthly]])</f>
        <v>0</v>
      </c>
      <c r="H63" s="160"/>
      <c r="I63" s="160"/>
      <c r="J63" s="3"/>
      <c r="K63" s="3"/>
    </row>
    <row r="64" spans="1:11" x14ac:dyDescent="0.25">
      <c r="A64" s="272" t="s">
        <v>5</v>
      </c>
      <c r="B64" s="208">
        <f>SUBTOTAL(109,Reserve_Expenses[Prior Monthly])</f>
        <v>0</v>
      </c>
      <c r="C64" s="223">
        <f>SUBTOTAL(109,Reserve_Expenses[Prior Annual])</f>
        <v>0</v>
      </c>
      <c r="D64" s="223">
        <f>SUBTOTAL(109,Reserve_Expenses[Prior Actual])</f>
        <v>0</v>
      </c>
      <c r="E64" s="209">
        <f>SUBTOTAL(109,Reserve_Expenses[Current Monthly])</f>
        <v>0</v>
      </c>
      <c r="F64" s="35">
        <f>SUBTOTAL(109,Reserve_Expenses[Current Annual])</f>
        <v>0</v>
      </c>
      <c r="G64" s="209">
        <f>SUBTOTAL(109,Reserve_Expenses[Monthly Change])</f>
        <v>0</v>
      </c>
      <c r="H64" s="160"/>
      <c r="I64" s="160"/>
    </row>
    <row r="65" spans="1:11" s="9" customFormat="1" x14ac:dyDescent="0.25">
      <c r="A65" s="273"/>
      <c r="B65" s="210"/>
      <c r="C65" s="222"/>
      <c r="D65" s="222"/>
      <c r="E65" s="211"/>
      <c r="F65" s="222"/>
      <c r="G65" s="211"/>
      <c r="H65" s="172"/>
      <c r="I65" s="172"/>
    </row>
    <row r="66" spans="1:11" s="9" customFormat="1" x14ac:dyDescent="0.25">
      <c r="A66" s="274" t="s">
        <v>2</v>
      </c>
      <c r="B66" s="212">
        <f>Operation_Expenses[[#Totals],[Prior Monthly]]+Reserve_Expenses[[#Totals],[Prior Monthly]]</f>
        <v>0</v>
      </c>
      <c r="C66" s="95">
        <f>Operation_Expenses[[#Totals],[Prior Annual]]+Reserve_Expenses[[#Totals],[Prior Annual]]</f>
        <v>0</v>
      </c>
      <c r="D66" s="95">
        <f>Operation_Expenses[[#Totals],[Prior Actual]]+Reserve_Expenses[[#Totals],[Prior Actual]]</f>
        <v>0</v>
      </c>
      <c r="E66" s="212">
        <f>Operation_Expenses[[#Totals],[Current Monthly]]+Reserve_Expenses[[#Totals],[Current Monthly]]</f>
        <v>0</v>
      </c>
      <c r="F66" s="95">
        <f>Operation_Expenses[[#Totals],[Current Annual]]+Reserve_Expenses[[#Totals],[Current Annual]]</f>
        <v>0</v>
      </c>
      <c r="G66" s="212">
        <f>Operation_Expenses[[#Totals],[Monthly Change]]+Reserve_Expenses[[#Totals],[Monthly Change]]</f>
        <v>0</v>
      </c>
      <c r="H66" s="172"/>
      <c r="I66" s="172"/>
    </row>
    <row r="67" spans="1:11" s="9" customFormat="1" hidden="1" x14ac:dyDescent="0.25">
      <c r="A67" s="275"/>
      <c r="B67" s="210">
        <f>SUM(B43:B65)</f>
        <v>0</v>
      </c>
      <c r="C67" s="96">
        <f>SUM(C43:C65)</f>
        <v>0</v>
      </c>
      <c r="D67" s="222">
        <f>SUM(D43:D63)</f>
        <v>0</v>
      </c>
      <c r="E67" s="210">
        <f>SUM(E43:E65)</f>
        <v>0</v>
      </c>
      <c r="F67" s="96">
        <f>SUM(F43:F65)</f>
        <v>0</v>
      </c>
      <c r="G67" s="210">
        <f>SUM(G43:G65)</f>
        <v>0</v>
      </c>
      <c r="H67" s="172"/>
      <c r="I67" s="172"/>
    </row>
    <row r="68" spans="1:11" s="9" customFormat="1" hidden="1" x14ac:dyDescent="0.25">
      <c r="A68" s="276"/>
      <c r="B68" s="214"/>
      <c r="C68" s="224"/>
      <c r="D68" s="224"/>
      <c r="E68" s="213"/>
      <c r="F68" s="97" t="s">
        <v>0</v>
      </c>
      <c r="G68" s="213"/>
      <c r="H68" s="172"/>
      <c r="I68" s="172"/>
    </row>
    <row r="69" spans="1:11" s="9" customFormat="1" hidden="1" x14ac:dyDescent="0.25">
      <c r="A69" s="277"/>
      <c r="B69" s="215">
        <f t="shared" ref="B69:G69" si="0">B67+B40</f>
        <v>0</v>
      </c>
      <c r="C69" s="225">
        <f t="shared" si="0"/>
        <v>0</v>
      </c>
      <c r="D69" s="225">
        <f t="shared" si="0"/>
        <v>0</v>
      </c>
      <c r="E69" s="216">
        <f t="shared" si="0"/>
        <v>0</v>
      </c>
      <c r="F69" s="98">
        <f t="shared" si="0"/>
        <v>0</v>
      </c>
      <c r="G69" s="216">
        <f t="shared" si="0"/>
        <v>0</v>
      </c>
      <c r="H69" s="172"/>
      <c r="I69" s="172"/>
      <c r="J69" s="3"/>
      <c r="K69" s="3"/>
    </row>
    <row r="70" spans="1:11" s="9" customFormat="1" ht="13.8" hidden="1" thickBot="1" x14ac:dyDescent="0.3">
      <c r="A70" s="278"/>
      <c r="B70" s="218"/>
      <c r="C70" s="226"/>
      <c r="D70" s="226"/>
      <c r="E70" s="219"/>
      <c r="F70" s="99"/>
      <c r="G70" s="217"/>
      <c r="H70" s="172"/>
      <c r="I70" s="172"/>
    </row>
    <row r="71" spans="1:11" s="9" customFormat="1" hidden="1" x14ac:dyDescent="0.25">
      <c r="A71" s="276"/>
      <c r="B71" s="214"/>
      <c r="C71" s="224"/>
      <c r="D71" s="224"/>
      <c r="E71" s="220"/>
      <c r="F71" s="100"/>
      <c r="G71" s="213"/>
      <c r="H71" s="172"/>
      <c r="I71" s="172"/>
    </row>
    <row r="72" spans="1:11" s="9" customFormat="1" x14ac:dyDescent="0.25">
      <c r="A72" s="279"/>
      <c r="B72" s="214"/>
      <c r="C72" s="224"/>
      <c r="D72" s="224"/>
      <c r="E72" s="220"/>
      <c r="F72" s="100"/>
      <c r="G72" s="213"/>
      <c r="H72" s="172"/>
      <c r="I72" s="172"/>
    </row>
    <row r="73" spans="1:11" s="9" customFormat="1" x14ac:dyDescent="0.25">
      <c r="A73" s="280" t="s">
        <v>3</v>
      </c>
      <c r="B73" s="221">
        <f>Budget_Revenue[[#Totals],[Prior Monthly]]-B66</f>
        <v>0</v>
      </c>
      <c r="C73" s="101">
        <f>Budget_Revenue[[#Totals],[Prior Annual]]-C66</f>
        <v>0</v>
      </c>
      <c r="D73" s="101">
        <f>Budget_Revenue[[#Totals],[Prior Actual]]-D66</f>
        <v>0</v>
      </c>
      <c r="E73" s="221">
        <f>Budget_Revenue[[#Totals],[Current Monthly]]-E66</f>
        <v>0</v>
      </c>
      <c r="F73" s="101">
        <f>Budget_Revenue[[#Totals],[Current Annual]]-F66</f>
        <v>0</v>
      </c>
      <c r="G73" s="221">
        <f>Budget_Revenue[[#Totals],[Monthly  Change]]-G66</f>
        <v>0</v>
      </c>
      <c r="H73" s="271"/>
      <c r="I73" s="172"/>
    </row>
    <row r="74" spans="1:11" s="9" customFormat="1" x14ac:dyDescent="0.25">
      <c r="A74" s="1"/>
      <c r="B74" s="93"/>
      <c r="C74" s="93"/>
      <c r="D74" s="93"/>
      <c r="E74" s="94"/>
      <c r="F74" s="94"/>
      <c r="G74" s="94"/>
      <c r="H74" s="19"/>
    </row>
    <row r="75" spans="1:11" s="9" customFormat="1" x14ac:dyDescent="0.25">
      <c r="A75" s="1"/>
      <c r="B75" s="30"/>
      <c r="C75" s="30"/>
      <c r="D75" s="30"/>
      <c r="E75" s="15"/>
      <c r="F75" s="15"/>
      <c r="G75" s="15"/>
      <c r="H75" s="21"/>
    </row>
    <row r="76" spans="1:11" s="9" customFormat="1" x14ac:dyDescent="0.25">
      <c r="D76" s="17"/>
      <c r="E76" s="18"/>
      <c r="F76" s="19"/>
      <c r="H76" s="21"/>
    </row>
    <row r="77" spans="1:11" x14ac:dyDescent="0.25">
      <c r="A77" s="1"/>
      <c r="B77" s="16"/>
      <c r="C77" s="16"/>
      <c r="D77" s="20"/>
      <c r="E77" s="21"/>
      <c r="F77" s="21"/>
      <c r="G77" s="16"/>
    </row>
    <row r="78" spans="1:11" x14ac:dyDescent="0.25">
      <c r="A78" s="1"/>
      <c r="B78" s="16"/>
      <c r="C78" s="16"/>
      <c r="D78" s="20"/>
      <c r="E78" s="23"/>
      <c r="F78" s="21"/>
      <c r="G78" s="16"/>
    </row>
    <row r="79" spans="1:11" x14ac:dyDescent="0.25">
      <c r="A79" s="9"/>
      <c r="B79" s="17"/>
      <c r="C79" s="17"/>
      <c r="G79" s="19"/>
    </row>
    <row r="80" spans="1:11" x14ac:dyDescent="0.25">
      <c r="A80" s="9"/>
      <c r="B80" s="20"/>
      <c r="C80" s="20"/>
      <c r="G80" s="21"/>
    </row>
    <row r="81" spans="1:7" x14ac:dyDescent="0.25">
      <c r="A81" s="9"/>
      <c r="B81" s="20"/>
      <c r="C81" s="22"/>
      <c r="G81" s="24"/>
    </row>
  </sheetData>
  <sheetProtection algorithmName="SHA-512" hashValue="gL5S7XCujlHBa39pxN6BbpqZobzzp9txts69TlBwhhv1btGTTUnje0LdRAaCVtYOxpIVhFZ9Dp9QOf22immxVQ==" saltValue="Lz8WHteGM9C8MsbPpZt3lQ==" spinCount="100000" sheet="1" objects="1" scenarios="1" selectLockedCells="1"/>
  <mergeCells count="1">
    <mergeCell ref="B1:D1"/>
  </mergeCells>
  <printOptions horizontalCentered="1"/>
  <pageMargins left="0.25" right="0.25" top="0.75" bottom="0.75" header="0.3" footer="0.3"/>
  <pageSetup scale="66" orientation="portrait" r:id="rId1"/>
  <headerFooter>
    <oddHeader>&amp;C&amp;"Arial,Bold"&amp;14Budget Analysis
Version: 1.10</oddHeader>
  </headerFooter>
  <drawing r:id="rId2"/>
  <legacyDrawing r:id="rId3"/>
  <tableParts count="3">
    <tablePart r:id="rId4"/>
    <tablePart r:id="rId5"/>
    <tablePart r:id="rId6"/>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74"/>
  <sheetViews>
    <sheetView showZeros="0" view="pageLayout" zoomScaleNormal="100" workbookViewId="0">
      <selection activeCell="I58" sqref="I58"/>
    </sheetView>
  </sheetViews>
  <sheetFormatPr defaultRowHeight="13.2" x14ac:dyDescent="0.25"/>
  <cols>
    <col min="1" max="1" width="27.6640625" customWidth="1"/>
    <col min="2" max="2" width="16.44140625" customWidth="1"/>
    <col min="3" max="3" width="15.44140625" customWidth="1"/>
    <col min="4" max="4" width="15.88671875" customWidth="1"/>
    <col min="5" max="5" width="18.33203125" customWidth="1"/>
    <col min="6" max="6" width="17.44140625" customWidth="1"/>
    <col min="7" max="7" width="18.6640625" customWidth="1"/>
    <col min="8" max="8" width="13.33203125" customWidth="1"/>
    <col min="9" max="9" width="12.88671875" customWidth="1"/>
    <col min="10" max="10" width="12.44140625" customWidth="1"/>
    <col min="11" max="11" width="10.33203125" bestFit="1" customWidth="1"/>
    <col min="12" max="12" width="11.33203125" bestFit="1" customWidth="1"/>
  </cols>
  <sheetData>
    <row r="1" spans="1:11" ht="17.25" customHeight="1" x14ac:dyDescent="0.25">
      <c r="A1" s="8" t="s">
        <v>25</v>
      </c>
      <c r="B1" s="256" t="s">
        <v>63</v>
      </c>
      <c r="C1" s="256"/>
      <c r="D1" s="256"/>
      <c r="E1" s="7" t="s">
        <v>16</v>
      </c>
      <c r="F1" s="124">
        <v>64</v>
      </c>
      <c r="G1" s="7" t="s">
        <v>17</v>
      </c>
      <c r="H1" s="125">
        <v>42408</v>
      </c>
    </row>
    <row r="2" spans="1:11" ht="18" customHeight="1" x14ac:dyDescent="0.25">
      <c r="A2" s="25" t="s">
        <v>6</v>
      </c>
      <c r="B2" s="126">
        <v>2015</v>
      </c>
      <c r="C2" s="7"/>
      <c r="D2" s="2"/>
      <c r="F2" s="7" t="s">
        <v>57</v>
      </c>
      <c r="G2" s="121">
        <f>Operation_Expenses11[[#Totals],[Current Monthly]]</f>
        <v>203.17999999999998</v>
      </c>
    </row>
    <row r="3" spans="1:11" ht="18.75" customHeight="1" x14ac:dyDescent="0.25">
      <c r="A3" s="7" t="s">
        <v>7</v>
      </c>
      <c r="B3" s="127">
        <v>2016</v>
      </c>
      <c r="C3" s="7"/>
      <c r="D3" s="8" t="s">
        <v>9</v>
      </c>
      <c r="E3" s="128" t="s">
        <v>46</v>
      </c>
      <c r="F3" s="7" t="s">
        <v>60</v>
      </c>
      <c r="G3" s="122">
        <f>Reserve_Expenses12[[#Totals],[Current Monthly]]</f>
        <v>95</v>
      </c>
    </row>
    <row r="4" spans="1:11" ht="16.2" customHeight="1" x14ac:dyDescent="0.25">
      <c r="A4" s="4"/>
      <c r="B4" s="5" t="s">
        <v>0</v>
      </c>
      <c r="C4" s="5" t="s">
        <v>0</v>
      </c>
      <c r="D4" s="5"/>
      <c r="E4" s="5"/>
      <c r="F4" s="91" t="s">
        <v>58</v>
      </c>
      <c r="G4" s="129">
        <f>G2+G3</f>
        <v>298.17999999999995</v>
      </c>
      <c r="H4" s="5"/>
    </row>
    <row r="5" spans="1:11" ht="16.2" customHeight="1" x14ac:dyDescent="0.25">
      <c r="A5" s="4"/>
      <c r="B5" s="5"/>
      <c r="C5" s="5"/>
      <c r="D5" s="5"/>
      <c r="E5" s="5"/>
      <c r="F5" s="91"/>
      <c r="G5" s="92"/>
      <c r="H5" s="5"/>
    </row>
    <row r="6" spans="1:11" s="2" customFormat="1" ht="15" customHeight="1" x14ac:dyDescent="0.25">
      <c r="A6" s="130" t="s">
        <v>48</v>
      </c>
      <c r="B6" s="131" t="s">
        <v>47</v>
      </c>
      <c r="C6" s="132" t="s">
        <v>48</v>
      </c>
      <c r="D6" s="132" t="s">
        <v>48</v>
      </c>
      <c r="E6" s="131" t="s">
        <v>47</v>
      </c>
      <c r="F6" s="132" t="s">
        <v>48</v>
      </c>
      <c r="G6" s="131" t="s">
        <v>47</v>
      </c>
      <c r="H6" s="6"/>
    </row>
    <row r="7" spans="1:11" s="2" customFormat="1" ht="17.399999999999999" customHeight="1" x14ac:dyDescent="0.25">
      <c r="A7" s="133" t="s">
        <v>24</v>
      </c>
      <c r="B7" s="134" t="s">
        <v>18</v>
      </c>
      <c r="C7" s="135" t="s">
        <v>19</v>
      </c>
      <c r="D7" s="135" t="s">
        <v>20</v>
      </c>
      <c r="E7" s="136" t="s">
        <v>21</v>
      </c>
      <c r="F7" s="136" t="s">
        <v>22</v>
      </c>
      <c r="G7" s="136" t="s">
        <v>23</v>
      </c>
    </row>
    <row r="8" spans="1:11" x14ac:dyDescent="0.25">
      <c r="A8" s="137" t="s">
        <v>1</v>
      </c>
      <c r="B8" s="106">
        <f>IF(ISERROR(ROUND(Budget_Revenue10[[#This Row],[Prior Annual]]/($F$1*12),2)),0,ROUND(Budget_Revenue10[[#This Row],[Prior Annual]]/($F$1*12),2))</f>
        <v>275</v>
      </c>
      <c r="C8" s="138">
        <v>211200</v>
      </c>
      <c r="D8" s="138">
        <v>211200</v>
      </c>
      <c r="E8" s="108">
        <f>IF(ISERROR(ROUND(Budget_Revenue10[[#This Row],[Current Annual]]/($F$1*12),2)),0,(ROUND(Budget_Revenue10[[#This Row],[Current Annual]]/($F$1*12),2)))</f>
        <v>315</v>
      </c>
      <c r="F8" s="108">
        <v>241920</v>
      </c>
      <c r="G8" s="111">
        <f>SUM(Budget_Revenue10[[#This Row],[Current Monthly]]-Budget_Revenue10[[#This Row],[Prior Monthly]])</f>
        <v>40</v>
      </c>
      <c r="I8" s="6"/>
      <c r="J8" s="3"/>
      <c r="K8" s="3"/>
    </row>
    <row r="9" spans="1:11" x14ac:dyDescent="0.25">
      <c r="A9" s="137"/>
      <c r="B9" s="106">
        <f>IF(ISERROR(ROUND(Budget_Revenue10[[#This Row],[Prior Annual]]/($F$1*12),2)),0,ROUND(Budget_Revenue10[[#This Row],[Prior Annual]]/($F$1*12),2))</f>
        <v>0</v>
      </c>
      <c r="C9" s="138"/>
      <c r="D9" s="138"/>
      <c r="E9" s="109">
        <f>IF(ISERROR(ROUND(Budget_Revenue10[[#This Row],[Current Annual]]/($F$1*12),2)),0,(ROUND(Budget_Revenue10[[#This Row],[Current Annual]]/($F$1*12),2)))</f>
        <v>0</v>
      </c>
      <c r="F9" s="112"/>
      <c r="G9" s="112">
        <f>SUM(Budget_Revenue10[[#This Row],[Current Monthly]]-Budget_Revenue10[[#This Row],[Prior Monthly]])</f>
        <v>0</v>
      </c>
      <c r="I9" s="6"/>
      <c r="J9" s="3"/>
      <c r="K9" s="3"/>
    </row>
    <row r="10" spans="1:11" x14ac:dyDescent="0.25">
      <c r="A10" s="137"/>
      <c r="B10" s="106">
        <f>IF(ISERROR(ROUND(Budget_Revenue10[[#This Row],[Prior Annual]]/($F$1*12),2)),0,ROUND(Budget_Revenue10[[#This Row],[Prior Annual]]/($F$1*12),2))</f>
        <v>0</v>
      </c>
      <c r="C10" s="138"/>
      <c r="D10" s="138"/>
      <c r="E10" s="109">
        <f>IF(ISERROR(ROUND(Budget_Revenue10[[#This Row],[Current Annual]]/($F$1*12),2)),0,(ROUND(Budget_Revenue10[[#This Row],[Current Annual]]/($F$1*12),2)))</f>
        <v>0</v>
      </c>
      <c r="F10" s="112"/>
      <c r="G10" s="112">
        <f>SUM(Budget_Revenue10[[#This Row],[Current Monthly]]-Budget_Revenue10[[#This Row],[Prior Monthly]])</f>
        <v>0</v>
      </c>
      <c r="I10" s="6"/>
      <c r="J10" s="3"/>
      <c r="K10" s="3"/>
    </row>
    <row r="11" spans="1:11" x14ac:dyDescent="0.25">
      <c r="A11" s="137"/>
      <c r="B11" s="106">
        <f>IF(ISERROR(ROUND(Budget_Revenue10[[#This Row],[Prior Annual]]/($F$1*12),2)),0,ROUND(Budget_Revenue10[[#This Row],[Prior Annual]]/($F$1*12),2))</f>
        <v>0</v>
      </c>
      <c r="C11" s="138"/>
      <c r="D11" s="138"/>
      <c r="E11" s="109">
        <f>IF(ISERROR(ROUND(Budget_Revenue10[[#This Row],[Current Annual]]/($F$1*12),2)),0,(ROUND(Budget_Revenue10[[#This Row],[Current Annual]]/($F$1*12),2)))</f>
        <v>0</v>
      </c>
      <c r="F11" s="112"/>
      <c r="G11" s="112">
        <f>SUM(Budget_Revenue10[[#This Row],[Current Monthly]]-Budget_Revenue10[[#This Row],[Prior Monthly]])</f>
        <v>0</v>
      </c>
      <c r="I11" s="6"/>
      <c r="J11" s="3"/>
      <c r="K11" s="3"/>
    </row>
    <row r="12" spans="1:11" x14ac:dyDescent="0.25">
      <c r="A12" s="137"/>
      <c r="B12" s="106">
        <f>IF(ISERROR(ROUND(Budget_Revenue10[[#This Row],[Prior Annual]]/($F$1*12),2)),0,ROUND(Budget_Revenue10[[#This Row],[Prior Annual]]/($F$1*12),2))</f>
        <v>0</v>
      </c>
      <c r="C12" s="138"/>
      <c r="D12" s="138"/>
      <c r="E12" s="109">
        <f>IF(ISERROR(ROUND(Budget_Revenue10[[#This Row],[Current Annual]]/($F$1*12),2)),0,(ROUND(Budget_Revenue10[[#This Row],[Current Annual]]/($F$1*12),2)))</f>
        <v>0</v>
      </c>
      <c r="F12" s="112"/>
      <c r="G12" s="112">
        <f>SUM(Budget_Revenue10[[#This Row],[Current Monthly]]-Budget_Revenue10[[#This Row],[Prior Monthly]])</f>
        <v>0</v>
      </c>
      <c r="I12" s="6"/>
      <c r="J12" s="3"/>
      <c r="K12" s="3"/>
    </row>
    <row r="13" spans="1:11" x14ac:dyDescent="0.25">
      <c r="A13" s="137"/>
      <c r="B13" s="106">
        <f>IF(ISERROR(ROUND(Budget_Revenue10[[#This Row],[Prior Annual]]/($F$1*12),2)),0,ROUND(Budget_Revenue10[[#This Row],[Prior Annual]]/($F$1*12),2))</f>
        <v>0</v>
      </c>
      <c r="C13" s="138"/>
      <c r="D13" s="138"/>
      <c r="E13" s="109">
        <f>IF(ISERROR(ROUND(Budget_Revenue10[[#This Row],[Current Annual]]/($F$1*12),2)),0,(ROUND(Budget_Revenue10[[#This Row],[Current Annual]]/($F$1*12),2)))</f>
        <v>0</v>
      </c>
      <c r="F13" s="112"/>
      <c r="G13" s="112">
        <f>SUM(Budget_Revenue10[[#This Row],[Current Monthly]]-Budget_Revenue10[[#This Row],[Prior Monthly]])</f>
        <v>0</v>
      </c>
      <c r="I13" s="6"/>
      <c r="J13" s="3"/>
      <c r="K13" s="3"/>
    </row>
    <row r="14" spans="1:11" x14ac:dyDescent="0.25">
      <c r="A14" s="137"/>
      <c r="B14" s="106">
        <f>IF(ISERROR(ROUND(Budget_Revenue10[[#This Row],[Prior Annual]]/($F$1*12),2)),0,ROUND(Budget_Revenue10[[#This Row],[Prior Annual]]/($F$1*12),2))</f>
        <v>0</v>
      </c>
      <c r="C14" s="138"/>
      <c r="D14" s="138"/>
      <c r="E14" s="109">
        <f>IF(ISERROR(ROUND(Budget_Revenue10[[#This Row],[Current Annual]]/($F$1*12),2)),0,(ROUND(Budget_Revenue10[[#This Row],[Current Annual]]/($F$1*12),2)))</f>
        <v>0</v>
      </c>
      <c r="F14" s="112"/>
      <c r="G14" s="112">
        <f>SUM(Budget_Revenue10[[#This Row],[Current Monthly]]-Budget_Revenue10[[#This Row],[Prior Monthly]])</f>
        <v>0</v>
      </c>
      <c r="I14" s="6"/>
      <c r="J14" s="3"/>
      <c r="K14" s="3"/>
    </row>
    <row r="15" spans="1:11" x14ac:dyDescent="0.25">
      <c r="A15" s="137"/>
      <c r="B15" s="106">
        <f>IF(ISERROR(ROUND(Budget_Revenue10[[#This Row],[Prior Annual]]/($F$1*12),2)),0,ROUND(Budget_Revenue10[[#This Row],[Prior Annual]]/($F$1*12),2))</f>
        <v>0</v>
      </c>
      <c r="C15" s="138"/>
      <c r="D15" s="138"/>
      <c r="E15" s="109">
        <f>IF(ISERROR(ROUND(Budget_Revenue10[[#This Row],[Current Annual]]/($F$1*12),2)),0,(ROUND(Budget_Revenue10[[#This Row],[Current Annual]]/($F$1*12),2)))</f>
        <v>0</v>
      </c>
      <c r="F15" s="112"/>
      <c r="G15" s="112">
        <f>SUM(Budget_Revenue10[[#This Row],[Current Monthly]]-Budget_Revenue10[[#This Row],[Prior Monthly]])</f>
        <v>0</v>
      </c>
      <c r="I15" s="6"/>
      <c r="J15" s="3"/>
      <c r="K15" s="3"/>
    </row>
    <row r="16" spans="1:11" x14ac:dyDescent="0.25">
      <c r="A16" s="137"/>
      <c r="B16" s="106">
        <f>IF(ISERROR(ROUND(Budget_Revenue10[[#This Row],[Prior Annual]]/($F$1*12),2)),0,ROUND(Budget_Revenue10[[#This Row],[Prior Annual]]/($F$1*12),2))</f>
        <v>0</v>
      </c>
      <c r="C16" s="138"/>
      <c r="D16" s="138"/>
      <c r="E16" s="109">
        <f>IF(ISERROR(ROUND(Budget_Revenue10[[#This Row],[Current Annual]]/($F$1*12),2)),0,(ROUND(Budget_Revenue10[[#This Row],[Current Annual]]/($F$1*12),2)))</f>
        <v>0</v>
      </c>
      <c r="F16" s="112"/>
      <c r="G16" s="112">
        <f>SUM(Budget_Revenue10[[#This Row],[Current Monthly]]-Budget_Revenue10[[#This Row],[Prior Monthly]])</f>
        <v>0</v>
      </c>
      <c r="I16" s="6"/>
      <c r="J16" s="3"/>
      <c r="K16" s="3"/>
    </row>
    <row r="17" spans="1:11" x14ac:dyDescent="0.25">
      <c r="A17" s="137"/>
      <c r="B17" s="106">
        <f>IF(ISERROR(ROUND(Budget_Revenue10[[#This Row],[Prior Annual]]/($F$1*12),2)),0,ROUND(Budget_Revenue10[[#This Row],[Prior Annual]]/($F$1*12),2))</f>
        <v>0</v>
      </c>
      <c r="C17" s="138"/>
      <c r="D17" s="138"/>
      <c r="E17" s="109">
        <f>IF(ISERROR(ROUND(Budget_Revenue10[[#This Row],[Current Annual]]/($F$1*12),2)),0,(ROUND(Budget_Revenue10[[#This Row],[Current Annual]]/($F$1*12),2)))</f>
        <v>0</v>
      </c>
      <c r="F17" s="112"/>
      <c r="G17" s="112">
        <f>SUM(Budget_Revenue10[[#This Row],[Current Monthly]]-Budget_Revenue10[[#This Row],[Prior Monthly]])</f>
        <v>0</v>
      </c>
      <c r="I17" s="6"/>
      <c r="J17" s="3"/>
      <c r="K17" s="3"/>
    </row>
    <row r="18" spans="1:11" x14ac:dyDescent="0.25">
      <c r="A18" s="139" t="s">
        <v>59</v>
      </c>
      <c r="B18" s="107">
        <f>SUBTOTAL(109,Budget_Revenue10[Prior Monthly])</f>
        <v>275</v>
      </c>
      <c r="C18" s="107">
        <f>SUBTOTAL(109,Budget_Revenue10[Prior Annual])</f>
        <v>211200</v>
      </c>
      <c r="D18" s="107">
        <f>SUBTOTAL(109,Budget_Revenue10[Prior Actual])</f>
        <v>211200</v>
      </c>
      <c r="E18" s="110">
        <f>SUBTOTAL(109,Budget_Revenue10[Current Monthly])</f>
        <v>315</v>
      </c>
      <c r="F18" s="110">
        <f>SUBTOTAL(109,Budget_Revenue10[Current Annual])</f>
        <v>241920</v>
      </c>
      <c r="G18" s="110">
        <f>SUBTOTAL(109,Budget_Revenue10[Monthly  Change])</f>
        <v>40</v>
      </c>
    </row>
    <row r="19" spans="1:11" x14ac:dyDescent="0.25">
      <c r="A19" s="7"/>
      <c r="B19" s="28"/>
      <c r="C19" s="28"/>
      <c r="D19" s="28"/>
      <c r="E19" s="10"/>
      <c r="F19" s="10"/>
      <c r="G19" s="10"/>
    </row>
    <row r="20" spans="1:11" x14ac:dyDescent="0.25">
      <c r="A20" s="7"/>
      <c r="B20" s="28"/>
      <c r="C20" s="28"/>
      <c r="D20" s="28"/>
      <c r="E20" s="10"/>
      <c r="F20" s="10"/>
      <c r="G20" s="10"/>
    </row>
    <row r="21" spans="1:11" x14ac:dyDescent="0.25">
      <c r="A21" s="130" t="s">
        <v>48</v>
      </c>
      <c r="B21" s="131" t="s">
        <v>47</v>
      </c>
      <c r="C21" s="132" t="s">
        <v>48</v>
      </c>
      <c r="D21" s="132" t="s">
        <v>48</v>
      </c>
      <c r="E21" s="131" t="s">
        <v>47</v>
      </c>
      <c r="F21" s="132" t="s">
        <v>48</v>
      </c>
      <c r="G21" s="131" t="s">
        <v>47</v>
      </c>
      <c r="J21" s="3"/>
      <c r="K21" s="3"/>
    </row>
    <row r="22" spans="1:11" x14ac:dyDescent="0.25">
      <c r="A22" s="133" t="s">
        <v>29</v>
      </c>
      <c r="B22" s="140" t="s">
        <v>18</v>
      </c>
      <c r="C22" s="141" t="s">
        <v>19</v>
      </c>
      <c r="D22" s="141" t="s">
        <v>20</v>
      </c>
      <c r="E22" s="142" t="s">
        <v>21</v>
      </c>
      <c r="F22" s="143" t="s">
        <v>22</v>
      </c>
      <c r="G22" s="143" t="s">
        <v>27</v>
      </c>
      <c r="J22" s="3"/>
      <c r="K22" s="3"/>
    </row>
    <row r="23" spans="1:11" x14ac:dyDescent="0.25">
      <c r="A23" s="137" t="s">
        <v>28</v>
      </c>
      <c r="B23" s="114">
        <f>IF(ISERROR(ROUND(Operation_Expenses11[[#This Row],[Prior Annual]]/($F$1*12),2)),0,ROUND(Operation_Expenses11[[#This Row],[Prior Annual]]/($F$1*12),2))</f>
        <v>5.47</v>
      </c>
      <c r="C23" s="144">
        <v>4200</v>
      </c>
      <c r="D23" s="144">
        <v>4200</v>
      </c>
      <c r="E23" s="111">
        <f>IF(ISERROR(ROUND(Operation_Expenses11[[#This Row],[Current Annual]]/($F$1*12),2)),0,(ROUND(Operation_Expenses11[[#This Row],[Current Annual]]/($F$1*12),2)))</f>
        <v>5.47</v>
      </c>
      <c r="F23" s="111">
        <v>4200</v>
      </c>
      <c r="G23" s="111">
        <f>SUM(Operation_Expenses11[[#This Row],[Current Monthly]]-Operation_Expenses11[[#This Row],[Prior Monthly]])</f>
        <v>0</v>
      </c>
      <c r="J23" s="3"/>
      <c r="K23" s="3"/>
    </row>
    <row r="24" spans="1:11" x14ac:dyDescent="0.25">
      <c r="A24" s="137" t="s">
        <v>70</v>
      </c>
      <c r="B24" s="114">
        <f>IF(ISERROR(ROUND(Operation_Expenses11[[#This Row],[Prior Annual]]/($F$1*12),2)),0,ROUND(Operation_Expenses11[[#This Row],[Prior Annual]]/($F$1*12),2))</f>
        <v>15.63</v>
      </c>
      <c r="C24" s="144">
        <v>12000</v>
      </c>
      <c r="D24" s="144">
        <v>10500</v>
      </c>
      <c r="E24" s="111">
        <f>IF(ISERROR(ROUND(Operation_Expenses11[[#This Row],[Current Annual]]/($F$1*12),2)),0,(ROUND(Operation_Expenses11[[#This Row],[Current Annual]]/($F$1*12),2)))</f>
        <v>18.88</v>
      </c>
      <c r="F24" s="111">
        <v>14500</v>
      </c>
      <c r="G24" s="111">
        <f>SUM(Operation_Expenses11[[#This Row],[Current Monthly]]-Operation_Expenses11[[#This Row],[Prior Monthly]])</f>
        <v>3.2499999999999982</v>
      </c>
      <c r="J24" s="3"/>
      <c r="K24" s="3"/>
    </row>
    <row r="25" spans="1:11" x14ac:dyDescent="0.25">
      <c r="A25" s="137" t="s">
        <v>73</v>
      </c>
      <c r="B25" s="114">
        <f>IF(ISERROR(ROUND(Operation_Expenses11[[#This Row],[Prior Annual]]/($F$1*12),2)),0,ROUND(Operation_Expenses11[[#This Row],[Prior Annual]]/($F$1*12),2))</f>
        <v>6.51</v>
      </c>
      <c r="C25" s="144">
        <v>5000</v>
      </c>
      <c r="D25" s="144">
        <v>3654</v>
      </c>
      <c r="E25" s="111">
        <f>IF(ISERROR(ROUND(Operation_Expenses11[[#This Row],[Current Annual]]/($F$1*12),2)),0,(ROUND(Operation_Expenses11[[#This Row],[Current Annual]]/($F$1*12),2)))</f>
        <v>6.51</v>
      </c>
      <c r="F25" s="111">
        <v>5000</v>
      </c>
      <c r="G25" s="111">
        <f>SUM(Operation_Expenses11[[#This Row],[Current Monthly]]-Operation_Expenses11[[#This Row],[Prior Monthly]])</f>
        <v>0</v>
      </c>
      <c r="J25" s="3"/>
      <c r="K25" s="3"/>
    </row>
    <row r="26" spans="1:11" x14ac:dyDescent="0.25">
      <c r="A26" s="137" t="s">
        <v>74</v>
      </c>
      <c r="B26" s="114">
        <f>IF(ISERROR(ROUND(Operation_Expenses11[[#This Row],[Prior Annual]]/($F$1*12),2)),0,ROUND(Operation_Expenses11[[#This Row],[Prior Annual]]/($F$1*12),2))</f>
        <v>13.02</v>
      </c>
      <c r="C26" s="144">
        <v>10000</v>
      </c>
      <c r="D26" s="144">
        <v>9650</v>
      </c>
      <c r="E26" s="111">
        <f>IF(ISERROR(ROUND(Operation_Expenses11[[#This Row],[Current Annual]]/($F$1*12),2)),0,(ROUND(Operation_Expenses11[[#This Row],[Current Annual]]/($F$1*12),2)))</f>
        <v>14.97</v>
      </c>
      <c r="F26" s="111">
        <v>11500</v>
      </c>
      <c r="G26" s="111">
        <f>SUM(Operation_Expenses11[[#This Row],[Current Monthly]]-Operation_Expenses11[[#This Row],[Prior Monthly]])</f>
        <v>1.9500000000000011</v>
      </c>
      <c r="J26" s="3"/>
      <c r="K26" s="3"/>
    </row>
    <row r="27" spans="1:11" x14ac:dyDescent="0.25">
      <c r="A27" s="137" t="s">
        <v>71</v>
      </c>
      <c r="B27" s="114">
        <f>IF(ISERROR(ROUND(Operation_Expenses11[[#This Row],[Prior Annual]]/($F$1*12),2)),0,ROUND(Operation_Expenses11[[#This Row],[Prior Annual]]/($F$1*12),2))</f>
        <v>12.57</v>
      </c>
      <c r="C27" s="144">
        <v>9650</v>
      </c>
      <c r="D27" s="144">
        <v>9650</v>
      </c>
      <c r="E27" s="111">
        <f>IF(ISERROR(ROUND(Operation_Expenses11[[#This Row],[Current Annual]]/($F$1*12),2)),0,(ROUND(Operation_Expenses11[[#This Row],[Current Annual]]/($F$1*12),2)))</f>
        <v>13.02</v>
      </c>
      <c r="F27" s="111">
        <v>10000</v>
      </c>
      <c r="G27" s="111">
        <f>SUM(Operation_Expenses11[[#This Row],[Current Monthly]]-Operation_Expenses11[[#This Row],[Prior Monthly]])</f>
        <v>0.44999999999999929</v>
      </c>
      <c r="J27" s="3"/>
      <c r="K27" s="3"/>
    </row>
    <row r="28" spans="1:11" x14ac:dyDescent="0.25">
      <c r="A28" s="137" t="s">
        <v>72</v>
      </c>
      <c r="B28" s="114">
        <f>IF(ISERROR(ROUND(Operation_Expenses11[[#This Row],[Prior Annual]]/($F$1*12),2)),0,ROUND(Operation_Expenses11[[#This Row],[Prior Annual]]/($F$1*12),2))</f>
        <v>78.13</v>
      </c>
      <c r="C28" s="144">
        <v>60000</v>
      </c>
      <c r="D28" s="144">
        <v>78540</v>
      </c>
      <c r="E28" s="111">
        <f>IF(ISERROR(ROUND(Operation_Expenses11[[#This Row],[Current Annual]]/($F$1*12),2)),0,(ROUND(Operation_Expenses11[[#This Row],[Current Annual]]/($F$1*12),2)))</f>
        <v>80.73</v>
      </c>
      <c r="F28" s="111">
        <v>62000</v>
      </c>
      <c r="G28" s="111">
        <f>SUM(Operation_Expenses11[[#This Row],[Current Monthly]]-Operation_Expenses11[[#This Row],[Prior Monthly]])</f>
        <v>2.6000000000000085</v>
      </c>
      <c r="J28" s="3"/>
      <c r="K28" s="3"/>
    </row>
    <row r="29" spans="1:11" x14ac:dyDescent="0.25">
      <c r="A29" s="137" t="s">
        <v>75</v>
      </c>
      <c r="B29" s="114">
        <f>IF(ISERROR(ROUND(Operation_Expenses11[[#This Row],[Prior Annual]]/($F$1*12),2)),0,ROUND(Operation_Expenses11[[#This Row],[Prior Annual]]/($F$1*12),2))</f>
        <v>39.06</v>
      </c>
      <c r="C29" s="144">
        <v>30000</v>
      </c>
      <c r="D29" s="144">
        <v>40800</v>
      </c>
      <c r="E29" s="111">
        <f>IF(ISERROR(ROUND(Operation_Expenses11[[#This Row],[Current Annual]]/($F$1*12),2)),0,(ROUND(Operation_Expenses11[[#This Row],[Current Annual]]/($F$1*12),2)))</f>
        <v>41.67</v>
      </c>
      <c r="F29" s="111">
        <v>32000</v>
      </c>
      <c r="G29" s="111">
        <f>SUM(Operation_Expenses11[[#This Row],[Current Monthly]]-Operation_Expenses11[[#This Row],[Prior Monthly]])</f>
        <v>2.6099999999999994</v>
      </c>
      <c r="J29" s="3"/>
      <c r="K29" s="3"/>
    </row>
    <row r="30" spans="1:11" x14ac:dyDescent="0.25">
      <c r="A30" s="137" t="s">
        <v>76</v>
      </c>
      <c r="B30" s="115">
        <f>IF(ISERROR(ROUND(Operation_Expenses11[[#This Row],[Prior Annual]]/($F$1*12),2)),0,ROUND(Operation_Expenses11[[#This Row],[Prior Annual]]/($F$1*12),2))</f>
        <v>26.28</v>
      </c>
      <c r="C30" s="145">
        <v>20183</v>
      </c>
      <c r="D30" s="145">
        <v>21580</v>
      </c>
      <c r="E30" s="111">
        <f>IF(ISERROR(ROUND(Operation_Expenses11[[#This Row],[Current Annual]]/($F$1*12),2)),0,(ROUND(Operation_Expenses11[[#This Row],[Current Annual]]/($F$1*12),2)))</f>
        <v>28.65</v>
      </c>
      <c r="F30" s="111">
        <v>22000</v>
      </c>
      <c r="G30" s="112">
        <f>SUM(Operation_Expenses11[[#This Row],[Current Monthly]]-Operation_Expenses11[[#This Row],[Prior Monthly]])</f>
        <v>2.3699999999999974</v>
      </c>
      <c r="J30" s="3"/>
      <c r="K30" s="3"/>
    </row>
    <row r="31" spans="1:11" x14ac:dyDescent="0.25">
      <c r="A31" s="137" t="s">
        <v>77</v>
      </c>
      <c r="B31" s="115">
        <f>IF(ISERROR(ROUND(Operation_Expenses11[[#This Row],[Prior Annual]]/($F$1*12),2)),0,ROUND(Operation_Expenses11[[#This Row],[Prior Annual]]/($F$1*12),2))</f>
        <v>6.51</v>
      </c>
      <c r="C31" s="145">
        <v>5000</v>
      </c>
      <c r="D31" s="145">
        <v>2600</v>
      </c>
      <c r="E31" s="111">
        <f>IF(ISERROR(ROUND(Operation_Expenses11[[#This Row],[Current Annual]]/($F$1*12),2)),0,(ROUND(Operation_Expenses11[[#This Row],[Current Annual]]/($F$1*12),2)))</f>
        <v>6.51</v>
      </c>
      <c r="F31" s="111">
        <v>5000</v>
      </c>
      <c r="G31" s="112">
        <f>SUM(Operation_Expenses11[[#This Row],[Current Monthly]]-Operation_Expenses11[[#This Row],[Prior Monthly]])</f>
        <v>0</v>
      </c>
      <c r="J31" s="3"/>
      <c r="K31" s="3"/>
    </row>
    <row r="32" spans="1:11" x14ac:dyDescent="0.25">
      <c r="A32" s="137"/>
      <c r="B32" s="115">
        <f>IF(ISERROR(ROUND(Operation_Expenses11[[#This Row],[Prior Annual]]/($F$1*12),2)),0,ROUND(Operation_Expenses11[[#This Row],[Prior Annual]]/($F$1*12),2))</f>
        <v>0</v>
      </c>
      <c r="C32" s="145"/>
      <c r="D32" s="145"/>
      <c r="E32" s="111">
        <f>IF(ISERROR(ROUND(Operation_Expenses11[[#This Row],[Current Annual]]/($F$1*12),2)),0,(ROUND(Operation_Expenses11[[#This Row],[Current Annual]]/($F$1*12),2)))</f>
        <v>0</v>
      </c>
      <c r="F32" s="111"/>
      <c r="G32" s="112">
        <f>SUM(Operation_Expenses11[[#This Row],[Current Monthly]]-Operation_Expenses11[[#This Row],[Prior Monthly]])</f>
        <v>0</v>
      </c>
      <c r="J32" s="3"/>
      <c r="K32" s="3"/>
    </row>
    <row r="33" spans="1:11" x14ac:dyDescent="0.25">
      <c r="A33" s="137"/>
      <c r="B33" s="115">
        <f>IF(ISERROR(ROUND(Operation_Expenses11[[#This Row],[Prior Annual]]/($F$1*12),2)),0,ROUND(Operation_Expenses11[[#This Row],[Prior Annual]]/($F$1*12),2))</f>
        <v>0</v>
      </c>
      <c r="C33" s="145"/>
      <c r="D33" s="145"/>
      <c r="E33" s="111">
        <f>IF(ISERROR(ROUND(Operation_Expenses11[[#This Row],[Current Annual]]/($F$1*12),2)),0,(ROUND(Operation_Expenses11[[#This Row],[Current Annual]]/($F$1*12),2)))</f>
        <v>0</v>
      </c>
      <c r="F33" s="111"/>
      <c r="G33" s="112">
        <f>SUM(Operation_Expenses11[[#This Row],[Current Monthly]]-Operation_Expenses11[[#This Row],[Prior Monthly]])</f>
        <v>0</v>
      </c>
      <c r="J33" s="3"/>
      <c r="K33" s="3"/>
    </row>
    <row r="34" spans="1:11" x14ac:dyDescent="0.25">
      <c r="A34" s="137"/>
      <c r="B34" s="115">
        <f>IF(ISERROR(ROUND(Operation_Expenses11[[#This Row],[Prior Annual]]/($F$1*12),2)),0,ROUND(Operation_Expenses11[[#This Row],[Prior Annual]]/($F$1*12),2))</f>
        <v>0</v>
      </c>
      <c r="C34" s="145"/>
      <c r="D34" s="145"/>
      <c r="E34" s="111">
        <f>IF(ISERROR(ROUND(Operation_Expenses11[[#This Row],[Current Annual]]/($F$1*12),2)),0,(ROUND(Operation_Expenses11[[#This Row],[Current Annual]]/($F$1*12),2)))</f>
        <v>0</v>
      </c>
      <c r="F34" s="111"/>
      <c r="G34" s="112">
        <f>SUM(Operation_Expenses11[[#This Row],[Current Monthly]]-Operation_Expenses11[[#This Row],[Prior Monthly]])</f>
        <v>0</v>
      </c>
      <c r="J34" s="3"/>
      <c r="K34" s="3"/>
    </row>
    <row r="35" spans="1:11" x14ac:dyDescent="0.25">
      <c r="A35" s="137"/>
      <c r="B35" s="115">
        <f>IF(ISERROR(ROUND(Operation_Expenses11[[#This Row],[Prior Annual]]/($F$1*12),2)),0,ROUND(Operation_Expenses11[[#This Row],[Prior Annual]]/($F$1*12),2))</f>
        <v>0</v>
      </c>
      <c r="C35" s="145"/>
      <c r="D35" s="145"/>
      <c r="E35" s="111">
        <f>IF(ISERROR(ROUND(Operation_Expenses11[[#This Row],[Current Annual]]/($F$1*12),2)),0,(ROUND(Operation_Expenses11[[#This Row],[Current Annual]]/($F$1*12),2)))</f>
        <v>0</v>
      </c>
      <c r="F35" s="111"/>
      <c r="G35" s="112">
        <f>SUM(Operation_Expenses11[[#This Row],[Current Monthly]]-Operation_Expenses11[[#This Row],[Prior Monthly]])</f>
        <v>0</v>
      </c>
      <c r="J35" s="3"/>
      <c r="K35" s="3"/>
    </row>
    <row r="36" spans="1:11" x14ac:dyDescent="0.25">
      <c r="A36" s="137"/>
      <c r="B36" s="115">
        <f>IF(ISERROR(ROUND(Operation_Expenses11[[#This Row],[Prior Annual]]/($F$1*12),2)),0,ROUND(Operation_Expenses11[[#This Row],[Prior Annual]]/($F$1*12),2))</f>
        <v>0</v>
      </c>
      <c r="C36" s="145"/>
      <c r="D36" s="145"/>
      <c r="E36" s="111">
        <f>IF(ISERROR(ROUND(Operation_Expenses11[[#This Row],[Current Annual]]/($F$1*12),2)),0,(ROUND(Operation_Expenses11[[#This Row],[Current Annual]]/($F$1*12),2)))</f>
        <v>0</v>
      </c>
      <c r="F36" s="111"/>
      <c r="G36" s="112">
        <f>SUM(Operation_Expenses11[[#This Row],[Current Monthly]]-Operation_Expenses11[[#This Row],[Prior Monthly]])</f>
        <v>0</v>
      </c>
      <c r="J36" s="3"/>
      <c r="K36" s="3"/>
    </row>
    <row r="37" spans="1:11" x14ac:dyDescent="0.25">
      <c r="A37" s="137"/>
      <c r="B37" s="115">
        <f>IF(ISERROR(ROUND(Operation_Expenses11[[#This Row],[Prior Annual]]/($F$1*12),2)),0,ROUND(Operation_Expenses11[[#This Row],[Prior Annual]]/($F$1*12),2))</f>
        <v>0</v>
      </c>
      <c r="C37" s="145"/>
      <c r="D37" s="145"/>
      <c r="E37" s="111">
        <f>IF(ISERROR(ROUND(Operation_Expenses11[[#This Row],[Current Annual]]/($F$1*12),2)),0,(ROUND(Operation_Expenses11[[#This Row],[Current Annual]]/($F$1*12),2)))</f>
        <v>0</v>
      </c>
      <c r="F37" s="111"/>
      <c r="G37" s="112">
        <f>SUM(Operation_Expenses11[[#This Row],[Current Monthly]]-Operation_Expenses11[[#This Row],[Prior Monthly]])</f>
        <v>0</v>
      </c>
      <c r="J37" s="3"/>
      <c r="K37" s="3"/>
    </row>
    <row r="38" spans="1:11" s="2" customFormat="1" x14ac:dyDescent="0.25">
      <c r="A38" s="139" t="s">
        <v>30</v>
      </c>
      <c r="B38" s="116">
        <f>SUBTOTAL(109,Operation_Expenses11[Prior Monthly])</f>
        <v>203.17999999999998</v>
      </c>
      <c r="C38" s="107">
        <f>SUBTOTAL(109,Operation_Expenses11[Prior Annual])</f>
        <v>156033</v>
      </c>
      <c r="D38" s="107">
        <f>SUBTOTAL(109,Operation_Expenses11[Prior Actual])</f>
        <v>181174</v>
      </c>
      <c r="E38" s="110">
        <f>SUBTOTAL(109,Operation_Expenses11[Prior Monthly])</f>
        <v>203.17999999999998</v>
      </c>
      <c r="F38" s="110">
        <f>SUBTOTAL(109,Operation_Expenses11[Current Annual])</f>
        <v>166200</v>
      </c>
      <c r="G38" s="146">
        <f>SUBTOTAL(109,Operation_Expenses11[Monthly Change])</f>
        <v>13.230000000000004</v>
      </c>
    </row>
    <row r="39" spans="1:11" x14ac:dyDescent="0.25">
      <c r="A39" s="8"/>
      <c r="B39" s="29"/>
      <c r="C39" s="29"/>
      <c r="D39" s="29"/>
      <c r="E39" s="11"/>
      <c r="F39" s="11"/>
      <c r="G39" s="11"/>
      <c r="J39" s="3"/>
      <c r="K39" s="3"/>
    </row>
    <row r="40" spans="1:11" x14ac:dyDescent="0.25">
      <c r="A40" s="130" t="s">
        <v>48</v>
      </c>
      <c r="B40" s="131" t="s">
        <v>47</v>
      </c>
      <c r="C40" s="130" t="s">
        <v>48</v>
      </c>
      <c r="D40" s="130" t="s">
        <v>48</v>
      </c>
      <c r="E40" s="131" t="s">
        <v>47</v>
      </c>
      <c r="F40" s="130" t="s">
        <v>48</v>
      </c>
      <c r="G40" s="131" t="s">
        <v>47</v>
      </c>
      <c r="J40" s="3"/>
      <c r="K40" s="3"/>
    </row>
    <row r="41" spans="1:11" x14ac:dyDescent="0.25">
      <c r="A41" s="133" t="s">
        <v>26</v>
      </c>
      <c r="B41" s="147" t="s">
        <v>18</v>
      </c>
      <c r="C41" s="147" t="s">
        <v>19</v>
      </c>
      <c r="D41" s="147" t="s">
        <v>20</v>
      </c>
      <c r="E41" s="148" t="s">
        <v>21</v>
      </c>
      <c r="F41" s="148" t="s">
        <v>22</v>
      </c>
      <c r="G41" s="148" t="s">
        <v>27</v>
      </c>
      <c r="J41" s="3"/>
      <c r="K41" s="3"/>
    </row>
    <row r="42" spans="1:11" x14ac:dyDescent="0.25">
      <c r="A42" s="137" t="s">
        <v>62</v>
      </c>
      <c r="B42" s="106">
        <f>IF(ISERROR(ROUND(Reserve_Expenses12[[#This Row],[Prior Annual]]/($F$1*12),2)),0,(ROUND(Reserve_Expenses12[[#This Row],[Prior Annual]]/($F$1*12),2)))</f>
        <v>2.6</v>
      </c>
      <c r="C42" s="138">
        <v>2000</v>
      </c>
      <c r="D42" s="138">
        <v>2000</v>
      </c>
      <c r="E42" s="111">
        <f>IF(ISERROR(ROUND(Reserve_Expenses12[[#This Row],[Current Annual]]/($F$1*12),2)),0,(ROUND(Reserve_Expenses12[[#This Row],[Current Annual]]/($F$1*12),2)))</f>
        <v>0</v>
      </c>
      <c r="F42" s="149">
        <v>0</v>
      </c>
      <c r="G42" s="111">
        <f>SUM(Reserve_Expenses12[[#This Row],[Current Monthly]]-Reserve_Expenses12[[#This Row],[Prior Monthly]])</f>
        <v>-2.6</v>
      </c>
      <c r="J42" s="3"/>
      <c r="K42" s="3"/>
    </row>
    <row r="43" spans="1:11" x14ac:dyDescent="0.25">
      <c r="A43" s="119" t="s">
        <v>64</v>
      </c>
      <c r="B43" s="106">
        <f>IF(ISERROR(ROUND(Reserve_Expenses12[[#This Row],[Prior Annual]]/($F$1*12),2)),0,(ROUND(Reserve_Expenses12[[#This Row],[Prior Annual]]/($F$1*12),2)))</f>
        <v>22.79</v>
      </c>
      <c r="C43" s="138">
        <v>17500</v>
      </c>
      <c r="D43" s="145">
        <v>15615</v>
      </c>
      <c r="E43" s="111">
        <f>IF(ISERROR(ROUND(Reserve_Expenses12[[#This Row],[Current Annual]]/($F$1*12),2)),0,(ROUND(Reserve_Expenses12[[#This Row],[Current Annual]]/($F$1*12),2)))</f>
        <v>36.69</v>
      </c>
      <c r="F43" s="149">
        <v>28181</v>
      </c>
      <c r="G43" s="111">
        <f>SUM(Reserve_Expenses12[[#This Row],[Current Monthly]]-Reserve_Expenses12[[#This Row],[Prior Monthly]])</f>
        <v>13.899999999999999</v>
      </c>
      <c r="J43" s="3"/>
      <c r="K43" s="3"/>
    </row>
    <row r="44" spans="1:11" x14ac:dyDescent="0.25">
      <c r="A44" s="119" t="s">
        <v>65</v>
      </c>
      <c r="B44" s="106">
        <f>IF(ISERROR(ROUND(Reserve_Expenses12[[#This Row],[Prior Annual]]/($F$1*12),2)),0,(ROUND(Reserve_Expenses12[[#This Row],[Prior Annual]]/($F$1*12),2)))</f>
        <v>23.44</v>
      </c>
      <c r="C44" s="138">
        <v>18000</v>
      </c>
      <c r="D44" s="144">
        <v>13578</v>
      </c>
      <c r="E44" s="111">
        <f>IF(ISERROR(ROUND(Reserve_Expenses12[[#This Row],[Current Annual]]/($F$1*12),2)),0,(ROUND(Reserve_Expenses12[[#This Row],[Current Annual]]/($F$1*12),2)))</f>
        <v>29.19</v>
      </c>
      <c r="F44" s="149">
        <v>22421</v>
      </c>
      <c r="G44" s="111">
        <f>SUM(Reserve_Expenses12[[#This Row],[Current Monthly]]-Reserve_Expenses12[[#This Row],[Prior Monthly]])</f>
        <v>5.75</v>
      </c>
      <c r="J44" s="3"/>
      <c r="K44" s="3"/>
    </row>
    <row r="45" spans="1:11" x14ac:dyDescent="0.25">
      <c r="A45" s="119" t="s">
        <v>66</v>
      </c>
      <c r="B45" s="106">
        <f>IF(ISERROR(ROUND(Reserve_Expenses12[[#This Row],[Prior Annual]]/($F$1*12),2)),0,(ROUND(Reserve_Expenses12[[#This Row],[Prior Annual]]/($F$1*12),2)))</f>
        <v>11.37</v>
      </c>
      <c r="C45" s="138">
        <v>8734</v>
      </c>
      <c r="D45" s="144">
        <v>8498</v>
      </c>
      <c r="E45" s="111">
        <f>IF(ISERROR(ROUND(Reserve_Expenses12[[#This Row],[Current Annual]]/($F$1*12),2)),0,(ROUND(Reserve_Expenses12[[#This Row],[Current Annual]]/($F$1*12),2)))</f>
        <v>11.68</v>
      </c>
      <c r="F45" s="149">
        <v>8969</v>
      </c>
      <c r="G45" s="111">
        <f>SUM(Reserve_Expenses12[[#This Row],[Current Monthly]]-Reserve_Expenses12[[#This Row],[Prior Monthly]])</f>
        <v>0.3100000000000005</v>
      </c>
      <c r="I45" s="102" t="s">
        <v>61</v>
      </c>
      <c r="J45" s="3"/>
      <c r="K45" s="3"/>
    </row>
    <row r="46" spans="1:11" x14ac:dyDescent="0.25">
      <c r="A46" s="119" t="s">
        <v>67</v>
      </c>
      <c r="B46" s="106">
        <f>IF(ISERROR(ROUND(Reserve_Expenses12[[#This Row],[Prior Annual]]/($F$1*12),2)),0,(ROUND(Reserve_Expenses12[[#This Row],[Prior Annual]]/($F$1*12),2)))</f>
        <v>5.86</v>
      </c>
      <c r="C46" s="138">
        <v>4500</v>
      </c>
      <c r="D46" s="144">
        <v>4337</v>
      </c>
      <c r="E46" s="111">
        <f>IF(ISERROR(ROUND(Reserve_Expenses12[[#This Row],[Current Annual]]/($F$1*12),2)),0,(ROUND(Reserve_Expenses12[[#This Row],[Current Annual]]/($F$1*12),2)))</f>
        <v>6.07</v>
      </c>
      <c r="F46" s="149">
        <v>4663</v>
      </c>
      <c r="G46" s="111">
        <f>SUM(Reserve_Expenses12[[#This Row],[Current Monthly]]-Reserve_Expenses12[[#This Row],[Prior Monthly]])</f>
        <v>0.20999999999999996</v>
      </c>
      <c r="I46" s="103"/>
      <c r="J46" s="3"/>
      <c r="K46" s="3"/>
    </row>
    <row r="47" spans="1:11" x14ac:dyDescent="0.25">
      <c r="A47" s="119" t="s">
        <v>68</v>
      </c>
      <c r="B47" s="106">
        <f>IF(ISERROR(ROUND(Reserve_Expenses12[[#This Row],[Prior Annual]]/($F$1*12),2)),0,(ROUND(Reserve_Expenses12[[#This Row],[Prior Annual]]/($F$1*12),2)))</f>
        <v>2.7</v>
      </c>
      <c r="C47" s="138">
        <v>2072</v>
      </c>
      <c r="D47" s="144">
        <v>1916</v>
      </c>
      <c r="E47" s="111">
        <f>IF(ISERROR(ROUND(Reserve_Expenses12[[#This Row],[Current Annual]]/($F$1*12),2)),0,(ROUND(Reserve_Expenses12[[#This Row],[Current Annual]]/($F$1*12),2)))</f>
        <v>2.9</v>
      </c>
      <c r="F47" s="149">
        <v>2227</v>
      </c>
      <c r="G47" s="111">
        <f>SUM(Reserve_Expenses12[[#This Row],[Current Monthly]]-Reserve_Expenses12[[#This Row],[Prior Monthly]])</f>
        <v>0.19999999999999973</v>
      </c>
      <c r="J47" s="3"/>
      <c r="K47" s="3"/>
    </row>
    <row r="48" spans="1:11" x14ac:dyDescent="0.25">
      <c r="A48" s="119" t="s">
        <v>69</v>
      </c>
      <c r="B48" s="106">
        <f>IF(ISERROR(ROUND(Reserve_Expenses12[[#This Row],[Prior Annual]]/($F$1*12),2)),0,(ROUND(Reserve_Expenses12[[#This Row],[Prior Annual]]/($F$1*12),2)))</f>
        <v>3.06</v>
      </c>
      <c r="C48" s="138">
        <v>2350</v>
      </c>
      <c r="D48" s="145">
        <v>2350</v>
      </c>
      <c r="E48" s="111">
        <f>IF(ISERROR(ROUND(Reserve_Expenses12[[#This Row],[Current Annual]]/($F$1*12),2)),0,(ROUND(Reserve_Expenses12[[#This Row],[Current Annual]]/($F$1*12),2)))</f>
        <v>8.4700000000000006</v>
      </c>
      <c r="F48" s="149">
        <v>6505</v>
      </c>
      <c r="G48" s="111">
        <f>SUM(Reserve_Expenses12[[#This Row],[Current Monthly]]-Reserve_Expenses12[[#This Row],[Prior Monthly]])</f>
        <v>5.41</v>
      </c>
      <c r="J48" s="3"/>
      <c r="K48" s="3"/>
    </row>
    <row r="49" spans="1:11" x14ac:dyDescent="0.25">
      <c r="A49" s="117">
        <f>'RESERVE ANALYSIS'!A13</f>
        <v>0</v>
      </c>
      <c r="B49" s="106">
        <f>IF(ISERROR(ROUND(Reserve_Expenses12[[#This Row],[Prior Annual]]/($F$1*12),2)),0,(ROUND(Reserve_Expenses12[[#This Row],[Prior Annual]]/($F$1*12),2)))</f>
        <v>0</v>
      </c>
      <c r="C49" s="138"/>
      <c r="D49" s="145"/>
      <c r="E49" s="111">
        <f>IF(ISERROR(ROUND(Reserve_Expenses12[[#This Row],[Current Annual]]/($F$1*12),2)),0,(ROUND(Reserve_Expenses12[[#This Row],[Current Annual]]/($F$1*12),2)))</f>
        <v>0</v>
      </c>
      <c r="F49" s="149"/>
      <c r="G49" s="111">
        <f>SUM(Reserve_Expenses12[[#This Row],[Current Monthly]]-Reserve_Expenses12[[#This Row],[Prior Monthly]])</f>
        <v>0</v>
      </c>
      <c r="J49" s="3"/>
      <c r="K49" s="3"/>
    </row>
    <row r="50" spans="1:11" x14ac:dyDescent="0.25">
      <c r="A50" s="117">
        <f>'RESERVE ANALYSIS'!A14</f>
        <v>0</v>
      </c>
      <c r="B50" s="106">
        <f>IF(ISERROR(ROUND(Reserve_Expenses12[[#This Row],[Prior Annual]]/($F$1*12),2)),0,(ROUND(Reserve_Expenses12[[#This Row],[Prior Annual]]/($F$1*12),2)))</f>
        <v>0</v>
      </c>
      <c r="C50" s="138"/>
      <c r="D50" s="145"/>
      <c r="E50" s="111">
        <f>IF(ISERROR(ROUND(Reserve_Expenses12[[#This Row],[Current Annual]]/($F$1*12),2)),0,(ROUND(Reserve_Expenses12[[#This Row],[Current Annual]]/($F$1*12),2)))</f>
        <v>0</v>
      </c>
      <c r="F50" s="149"/>
      <c r="G50" s="111">
        <f>SUM(Reserve_Expenses12[[#This Row],[Current Monthly]]-Reserve_Expenses12[[#This Row],[Prior Monthly]])</f>
        <v>0</v>
      </c>
      <c r="J50" s="3"/>
      <c r="K50" s="3"/>
    </row>
    <row r="51" spans="1:11" x14ac:dyDescent="0.25">
      <c r="A51" s="117">
        <f>'RESERVE ANALYSIS'!A15</f>
        <v>0</v>
      </c>
      <c r="B51" s="106">
        <f>IF(ISERROR(ROUND(Reserve_Expenses12[[#This Row],[Prior Annual]]/($F$1*12),2)),0,(ROUND(Reserve_Expenses12[[#This Row],[Prior Annual]]/($F$1*12),2)))</f>
        <v>0</v>
      </c>
      <c r="C51" s="138"/>
      <c r="D51" s="145"/>
      <c r="E51" s="111">
        <f>IF(ISERROR(ROUND(Reserve_Expenses12[[#This Row],[Current Annual]]/($F$1*12),2)),0,(ROUND(Reserve_Expenses12[[#This Row],[Current Annual]]/($F$1*12),2)))</f>
        <v>0</v>
      </c>
      <c r="F51" s="149"/>
      <c r="G51" s="111">
        <f>SUM(Reserve_Expenses12[[#This Row],[Current Monthly]]-Reserve_Expenses12[[#This Row],[Prior Monthly]])</f>
        <v>0</v>
      </c>
      <c r="J51" s="3"/>
      <c r="K51" s="3"/>
    </row>
    <row r="52" spans="1:11" x14ac:dyDescent="0.25">
      <c r="A52" s="117">
        <f>'RESERVE ANALYSIS'!A16</f>
        <v>0</v>
      </c>
      <c r="B52" s="106">
        <f>IF(ISERROR(ROUND(Reserve_Expenses12[[#This Row],[Prior Annual]]/($F$1*12),2)),0,(ROUND(Reserve_Expenses12[[#This Row],[Prior Annual]]/($F$1*12),2)))</f>
        <v>0</v>
      </c>
      <c r="C52" s="138"/>
      <c r="D52" s="145"/>
      <c r="E52" s="111">
        <f>IF(ISERROR(ROUND(Reserve_Expenses12[[#This Row],[Current Annual]]/($F$1*12),2)),0,(ROUND(Reserve_Expenses12[[#This Row],[Current Annual]]/($F$1*12),2)))</f>
        <v>0</v>
      </c>
      <c r="F52" s="149"/>
      <c r="G52" s="111">
        <f>SUM(Reserve_Expenses12[[#This Row],[Current Monthly]]-Reserve_Expenses12[[#This Row],[Prior Monthly]])</f>
        <v>0</v>
      </c>
      <c r="J52" s="3"/>
      <c r="K52" s="3"/>
    </row>
    <row r="53" spans="1:11" x14ac:dyDescent="0.25">
      <c r="A53" s="117">
        <f>'RESERVE ANALYSIS'!A17</f>
        <v>0</v>
      </c>
      <c r="B53" s="106">
        <f>IF(ISERROR(ROUND(Reserve_Expenses12[[#This Row],[Prior Annual]]/($F$1*12),2)),0,(ROUND(Reserve_Expenses12[[#This Row],[Prior Annual]]/($F$1*12),2)))</f>
        <v>0</v>
      </c>
      <c r="C53" s="138"/>
      <c r="D53" s="145"/>
      <c r="E53" s="111">
        <f>IF(ISERROR(ROUND(Reserve_Expenses12[[#This Row],[Current Annual]]/($F$1*12),2)),0,(ROUND(Reserve_Expenses12[[#This Row],[Current Annual]]/($F$1*12),2)))</f>
        <v>0</v>
      </c>
      <c r="F53" s="149"/>
      <c r="G53" s="111">
        <f>SUM(Reserve_Expenses12[[#This Row],[Current Monthly]]-Reserve_Expenses12[[#This Row],[Prior Monthly]])</f>
        <v>0</v>
      </c>
      <c r="J53" s="3"/>
      <c r="K53" s="3"/>
    </row>
    <row r="54" spans="1:11" x14ac:dyDescent="0.25">
      <c r="A54" s="117">
        <f>'RESERVE ANALYSIS'!A18</f>
        <v>0</v>
      </c>
      <c r="B54" s="106">
        <f>IF(ISERROR(ROUND(Reserve_Expenses12[[#This Row],[Prior Annual]]/($F$1*12),2)),0,(ROUND(Reserve_Expenses12[[#This Row],[Prior Annual]]/($F$1*12),2)))</f>
        <v>0</v>
      </c>
      <c r="C54" s="138"/>
      <c r="D54" s="145"/>
      <c r="E54" s="111">
        <f>IF(ISERROR(ROUND(Reserve_Expenses12[[#This Row],[Current Annual]]/($F$1*12),2)),0,(ROUND(Reserve_Expenses12[[#This Row],[Current Annual]]/($F$1*12),2)))</f>
        <v>0</v>
      </c>
      <c r="F54" s="149"/>
      <c r="G54" s="111">
        <f>SUM(Reserve_Expenses12[[#This Row],[Current Monthly]]-Reserve_Expenses12[[#This Row],[Prior Monthly]])</f>
        <v>0</v>
      </c>
      <c r="J54" s="3"/>
      <c r="K54" s="3"/>
    </row>
    <row r="55" spans="1:11" x14ac:dyDescent="0.25">
      <c r="A55" s="117">
        <f>'RESERVE ANALYSIS'!A19</f>
        <v>0</v>
      </c>
      <c r="B55" s="106">
        <f>IF(ISERROR(ROUND(Reserve_Expenses12[[#This Row],[Prior Annual]]/($F$1*12),2)),0,(ROUND(Reserve_Expenses12[[#This Row],[Prior Annual]]/($F$1*12),2)))</f>
        <v>0</v>
      </c>
      <c r="C55" s="138"/>
      <c r="D55" s="145"/>
      <c r="E55" s="111">
        <f>IF(ISERROR(ROUND(Reserve_Expenses12[[#This Row],[Current Annual]]/($F$1*12),2)),0,(ROUND(Reserve_Expenses12[[#This Row],[Current Annual]]/($F$1*12),2)))</f>
        <v>0</v>
      </c>
      <c r="F55" s="149"/>
      <c r="G55" s="111">
        <f>SUM(Reserve_Expenses12[[#This Row],[Current Monthly]]-Reserve_Expenses12[[#This Row],[Prior Monthly]])</f>
        <v>0</v>
      </c>
      <c r="J55" s="3"/>
      <c r="K55" s="3"/>
    </row>
    <row r="56" spans="1:11" x14ac:dyDescent="0.25">
      <c r="A56" s="117">
        <f>'RESERVE ANALYSIS'!A20</f>
        <v>0</v>
      </c>
      <c r="B56" s="106">
        <f>IF(ISERROR(ROUND(Reserve_Expenses12[[#This Row],[Prior Annual]]/($F$1*12),2)),0,(ROUND(Reserve_Expenses12[[#This Row],[Prior Annual]]/($F$1*12),2)))</f>
        <v>0</v>
      </c>
      <c r="C56" s="138"/>
      <c r="D56" s="145"/>
      <c r="E56" s="111">
        <f>IF(ISERROR(ROUND(Reserve_Expenses12[[#This Row],[Current Annual]]/($F$1*12),2)),0,(ROUND(Reserve_Expenses12[[#This Row],[Current Annual]]/($F$1*12),2)))</f>
        <v>0</v>
      </c>
      <c r="F56" s="149"/>
      <c r="G56" s="111">
        <f>SUM(Reserve_Expenses12[[#This Row],[Current Monthly]]-Reserve_Expenses12[[#This Row],[Prior Monthly]])</f>
        <v>0</v>
      </c>
      <c r="J56" s="3"/>
      <c r="K56" s="3"/>
    </row>
    <row r="57" spans="1:11" x14ac:dyDescent="0.25">
      <c r="A57" s="139" t="s">
        <v>5</v>
      </c>
      <c r="B57" s="150">
        <f>SUBTOTAL(109,Reserve_Expenses12[Prior Monthly])</f>
        <v>71.820000000000007</v>
      </c>
      <c r="C57" s="150">
        <f>SUBTOTAL(109,Reserve_Expenses12[Prior Annual])</f>
        <v>55156</v>
      </c>
      <c r="D57" s="150">
        <f>SUBTOTAL(109,Reserve_Expenses12[Prior Actual])</f>
        <v>48294</v>
      </c>
      <c r="E57" s="151">
        <f>SUBTOTAL(109,Reserve_Expenses12[Current Monthly])</f>
        <v>95</v>
      </c>
      <c r="F57" s="151">
        <f>SUBTOTAL(109,Reserve_Expenses12[Current Annual])</f>
        <v>72966</v>
      </c>
      <c r="G57" s="151">
        <f>SUBTOTAL(109,Reserve_Expenses12[Monthly Change])</f>
        <v>23.18</v>
      </c>
    </row>
    <row r="58" spans="1:11" s="9" customFormat="1" x14ac:dyDescent="0.25">
      <c r="A58" s="152"/>
      <c r="B58" s="153"/>
      <c r="C58" s="154"/>
      <c r="D58" s="154"/>
      <c r="E58" s="154"/>
      <c r="F58" s="154"/>
      <c r="G58" s="154"/>
    </row>
    <row r="59" spans="1:11" s="9" customFormat="1" x14ac:dyDescent="0.25">
      <c r="A59" s="155" t="s">
        <v>2</v>
      </c>
      <c r="B59" s="156">
        <f>Operation_Expenses11[[#Totals],[Prior Monthly]]+Reserve_Expenses12[[#Totals],[Prior Monthly]]</f>
        <v>275</v>
      </c>
      <c r="C59" s="156">
        <f>Operation_Expenses11[[#Totals],[Prior Annual]]+Reserve_Expenses12[[#Totals],[Prior Annual]]</f>
        <v>211189</v>
      </c>
      <c r="D59" s="156">
        <f>Operation_Expenses11[[#Totals],[Prior Actual]]+Reserve_Expenses12[[#Totals],[Prior Actual]]</f>
        <v>229468</v>
      </c>
      <c r="E59" s="157">
        <f>Operation_Expenses11[[#Totals],[Current Monthly]]+Reserve_Expenses12[[#Totals],[Current Monthly]]</f>
        <v>298.17999999999995</v>
      </c>
      <c r="F59" s="157">
        <f>Operation_Expenses11[[#Totals],[Current Annual]]+Reserve_Expenses12[[#Totals],[Current Annual]]</f>
        <v>239166</v>
      </c>
      <c r="G59" s="157">
        <f>Operation_Expenses11[[#Totals],[Monthly Change]]+Reserve_Expenses12[[#Totals],[Monthly Change]]</f>
        <v>36.410000000000004</v>
      </c>
    </row>
    <row r="60" spans="1:11" s="9" customFormat="1" hidden="1" x14ac:dyDescent="0.25">
      <c r="A60" s="158"/>
      <c r="B60" s="153">
        <f>SUM(B42:B58)</f>
        <v>143.64000000000001</v>
      </c>
      <c r="C60" s="153">
        <f>SUM(C42:C58)</f>
        <v>110312</v>
      </c>
      <c r="D60" s="154">
        <f>SUM(D42:D56)</f>
        <v>48294</v>
      </c>
      <c r="E60" s="159">
        <f>SUM(E42:E58)</f>
        <v>190</v>
      </c>
      <c r="F60" s="159">
        <f>SUM(F42:F58)</f>
        <v>145932</v>
      </c>
      <c r="G60" s="159">
        <f>SUM(G42:G58)</f>
        <v>46.36</v>
      </c>
    </row>
    <row r="61" spans="1:11" s="9" customFormat="1" hidden="1" x14ac:dyDescent="0.25">
      <c r="A61" s="160"/>
      <c r="B61" s="161"/>
      <c r="C61" s="161"/>
      <c r="D61" s="161"/>
      <c r="E61" s="162"/>
      <c r="F61" s="163" t="s">
        <v>0</v>
      </c>
      <c r="G61" s="162"/>
    </row>
    <row r="62" spans="1:11" s="9" customFormat="1" hidden="1" x14ac:dyDescent="0.25">
      <c r="A62" s="164"/>
      <c r="B62" s="165">
        <f t="shared" ref="B62:G62" si="0">B60+B39</f>
        <v>143.64000000000001</v>
      </c>
      <c r="C62" s="165">
        <f t="shared" si="0"/>
        <v>110312</v>
      </c>
      <c r="D62" s="165">
        <f t="shared" si="0"/>
        <v>48294</v>
      </c>
      <c r="E62" s="166">
        <f t="shared" si="0"/>
        <v>190</v>
      </c>
      <c r="F62" s="166">
        <f t="shared" si="0"/>
        <v>145932</v>
      </c>
      <c r="G62" s="166">
        <f t="shared" si="0"/>
        <v>46.36</v>
      </c>
      <c r="J62" s="3"/>
      <c r="K62" s="3"/>
    </row>
    <row r="63" spans="1:11" s="9" customFormat="1" ht="13.8" hidden="1" thickBot="1" x14ac:dyDescent="0.3">
      <c r="A63" s="167"/>
      <c r="B63" s="168"/>
      <c r="C63" s="168"/>
      <c r="D63" s="169"/>
      <c r="E63" s="170"/>
      <c r="F63" s="170"/>
      <c r="G63" s="171"/>
    </row>
    <row r="64" spans="1:11" s="9" customFormat="1" hidden="1" x14ac:dyDescent="0.25">
      <c r="A64" s="172"/>
      <c r="B64" s="161"/>
      <c r="C64" s="161"/>
      <c r="D64" s="173"/>
      <c r="E64" s="174"/>
      <c r="F64" s="174"/>
      <c r="G64" s="162"/>
    </row>
    <row r="65" spans="1:8" s="9" customFormat="1" x14ac:dyDescent="0.25">
      <c r="A65" s="175"/>
      <c r="B65" s="161"/>
      <c r="C65" s="161"/>
      <c r="D65" s="173"/>
      <c r="E65" s="174"/>
      <c r="F65" s="174"/>
      <c r="G65" s="162"/>
    </row>
    <row r="66" spans="1:8" s="9" customFormat="1" x14ac:dyDescent="0.25">
      <c r="A66" s="176" t="s">
        <v>3</v>
      </c>
      <c r="B66" s="177">
        <f>Budget_Revenue10[[#Totals],[Prior Monthly]]-B59</f>
        <v>0</v>
      </c>
      <c r="C66" s="177">
        <f>Budget_Revenue10[[#Totals],[Prior Annual]]-C59</f>
        <v>11</v>
      </c>
      <c r="D66" s="177">
        <f>Budget_Revenue10[[#Totals],[Prior Actual]]-D59</f>
        <v>-18268</v>
      </c>
      <c r="E66" s="178">
        <f>Budget_Revenue10[[#Totals],[Current Monthly]]-E59</f>
        <v>16.82000000000005</v>
      </c>
      <c r="F66" s="178">
        <f>Budget_Revenue10[[#Totals],[Current Annual]]-F59</f>
        <v>2754</v>
      </c>
      <c r="G66" s="178">
        <f>Budget_Revenue10[[#Totals],[Monthly  Change]]-G59</f>
        <v>3.5899999999999963</v>
      </c>
      <c r="H66" s="16"/>
    </row>
    <row r="67" spans="1:8" s="9" customFormat="1" x14ac:dyDescent="0.25">
      <c r="A67" s="1"/>
      <c r="B67" s="93"/>
      <c r="C67" s="93"/>
      <c r="D67" s="93"/>
      <c r="E67" s="94"/>
      <c r="F67" s="94"/>
      <c r="G67" s="94"/>
      <c r="H67" s="19"/>
    </row>
    <row r="68" spans="1:8" s="9" customFormat="1" x14ac:dyDescent="0.25">
      <c r="A68" s="1"/>
      <c r="B68" s="30"/>
      <c r="C68" s="30"/>
      <c r="D68" s="30"/>
      <c r="E68" s="15"/>
      <c r="F68" s="15"/>
      <c r="G68" s="15"/>
      <c r="H68" s="21"/>
    </row>
    <row r="69" spans="1:8" s="9" customFormat="1" x14ac:dyDescent="0.25">
      <c r="D69" s="17"/>
      <c r="E69" s="18"/>
      <c r="F69" s="19"/>
      <c r="H69" s="21"/>
    </row>
    <row r="70" spans="1:8" x14ac:dyDescent="0.25">
      <c r="A70" s="1"/>
      <c r="B70" s="16"/>
      <c r="C70" s="16"/>
      <c r="D70" s="20"/>
      <c r="E70" s="21"/>
      <c r="F70" s="21"/>
      <c r="G70" s="16"/>
    </row>
    <row r="71" spans="1:8" x14ac:dyDescent="0.25">
      <c r="A71" s="1"/>
      <c r="B71" s="16"/>
      <c r="C71" s="16"/>
      <c r="D71" s="20"/>
      <c r="E71" s="23"/>
      <c r="F71" s="21"/>
      <c r="G71" s="16"/>
    </row>
    <row r="72" spans="1:8" x14ac:dyDescent="0.25">
      <c r="A72" s="9"/>
      <c r="B72" s="17"/>
      <c r="C72" s="17"/>
      <c r="G72" s="19"/>
    </row>
    <row r="73" spans="1:8" x14ac:dyDescent="0.25">
      <c r="A73" s="9"/>
      <c r="B73" s="20"/>
      <c r="C73" s="20"/>
      <c r="G73" s="21"/>
    </row>
    <row r="74" spans="1:8" x14ac:dyDescent="0.25">
      <c r="A74" s="9"/>
      <c r="B74" s="20"/>
      <c r="C74" s="22"/>
      <c r="G74" s="24"/>
    </row>
  </sheetData>
  <sheetProtection algorithmName="SHA-512" hashValue="ZeKPBY4Yfgi+qHYymT4ENoJ1VmnQ6snOJ2IxTdZOaors0Qmi3sMB8gKh7jf1XXOyYDuAqJVBa7Fb3JkK+WIlsA==" saltValue="mlWFOwvaIzr51tDaTPVnHw==" spinCount="100000" sheet="1" objects="1" scenarios="1" selectLockedCells="1" selectUnlockedCells="1"/>
  <mergeCells count="1">
    <mergeCell ref="B1:D1"/>
  </mergeCells>
  <printOptions horizontalCentered="1"/>
  <pageMargins left="0.25" right="0.25" top="0.75" bottom="0.75" header="0.3" footer="0.3"/>
  <pageSetup scale="66" orientation="portrait" r:id="rId1"/>
  <headerFooter>
    <oddHeader>&amp;C&amp;"Arial,Bold"&amp;14Budget Analysis
Version: 1.10</oddHeader>
  </headerFooter>
  <drawing r:id="rId2"/>
  <legacyDrawing r:id="rId3"/>
  <tableParts count="3">
    <tablePart r:id="rId4"/>
    <tablePart r:id="rId5"/>
    <tablePart r:id="rId6"/>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9"/>
  <sheetViews>
    <sheetView view="pageLayout" zoomScaleNormal="91" workbookViewId="0">
      <selection activeCell="B1" sqref="B1:E1"/>
    </sheetView>
  </sheetViews>
  <sheetFormatPr defaultColWidth="8.88671875" defaultRowHeight="13.2" x14ac:dyDescent="0.25"/>
  <cols>
    <col min="1" max="1" width="23.33203125" style="42" customWidth="1"/>
    <col min="2" max="2" width="7.5546875" style="42" customWidth="1"/>
    <col min="3" max="3" width="7.44140625" style="42" customWidth="1"/>
    <col min="4" max="4" width="9.109375" style="42" customWidth="1"/>
    <col min="5" max="5" width="15.88671875" style="42" customWidth="1"/>
    <col min="6" max="6" width="13.6640625" style="42" customWidth="1"/>
    <col min="7" max="7" width="14" style="42" customWidth="1"/>
    <col min="8" max="9" width="13" style="42" customWidth="1"/>
    <col min="10" max="10" width="11.33203125" style="42" customWidth="1"/>
    <col min="11" max="11" width="14.6640625" style="42" customWidth="1"/>
    <col min="12" max="12" width="15.33203125" style="42" customWidth="1"/>
    <col min="13" max="13" width="8.88671875" style="42"/>
    <col min="14" max="14" width="0" style="42" hidden="1" customWidth="1"/>
    <col min="15" max="16384" width="8.88671875" style="42"/>
  </cols>
  <sheetData>
    <row r="1" spans="1:12" ht="13.8" x14ac:dyDescent="0.3">
      <c r="A1" s="73" t="s">
        <v>8</v>
      </c>
      <c r="B1" s="258"/>
      <c r="C1" s="258"/>
      <c r="D1" s="258"/>
      <c r="E1" s="258"/>
      <c r="F1" s="38" t="s">
        <v>9</v>
      </c>
      <c r="G1" s="39"/>
      <c r="H1" s="73"/>
      <c r="I1" s="259" t="s">
        <v>4</v>
      </c>
      <c r="J1" s="259"/>
      <c r="K1" s="40"/>
      <c r="L1" s="74"/>
    </row>
    <row r="2" spans="1:12" ht="16.2" x14ac:dyDescent="0.35">
      <c r="A2" s="73" t="s">
        <v>10</v>
      </c>
      <c r="B2" s="43"/>
      <c r="C2" s="75"/>
      <c r="D2" s="75"/>
      <c r="E2" s="75"/>
      <c r="F2" s="74"/>
      <c r="G2" s="76"/>
      <c r="H2" s="259" t="s">
        <v>49</v>
      </c>
      <c r="I2" s="260"/>
      <c r="J2" s="46"/>
      <c r="K2" s="74"/>
      <c r="L2" s="74"/>
    </row>
    <row r="3" spans="1:12" ht="13.8" x14ac:dyDescent="0.3">
      <c r="A3" s="261" t="s">
        <v>31</v>
      </c>
      <c r="B3" s="261"/>
      <c r="C3" s="261"/>
      <c r="D3" s="47" t="str">
        <f>IF(ISERROR(Reserve_Analysis[[#Totals],[Annual  Payment Amount]]/12/$B$2),"",Reserve_Analysis[[#Totals],[Annual  Payment Amount]]/12/$B$2)</f>
        <v/>
      </c>
      <c r="E3" s="77"/>
      <c r="F3" s="261" t="s">
        <v>32</v>
      </c>
      <c r="G3" s="261"/>
      <c r="H3" s="261"/>
      <c r="I3" s="261"/>
      <c r="J3" s="47" t="str">
        <f>IF(ISERROR(Reserve_Analysis[[#Totals],[Annual Replac. Cost]]/12/$B$2),"",Reserve_Analysis[[#Totals],[Annual Replac. Cost]]/12/$B$2)</f>
        <v/>
      </c>
      <c r="K3" s="74"/>
      <c r="L3" s="74"/>
    </row>
    <row r="4" spans="1:12" ht="13.8" x14ac:dyDescent="0.3">
      <c r="A4" s="78"/>
      <c r="B4" s="262"/>
      <c r="C4" s="262"/>
      <c r="D4" s="262"/>
      <c r="E4" s="262"/>
      <c r="F4" s="262"/>
      <c r="G4" s="76"/>
      <c r="H4" s="79"/>
      <c r="I4" s="79"/>
      <c r="J4" s="74"/>
      <c r="K4" s="50"/>
      <c r="L4" s="51"/>
    </row>
    <row r="5" spans="1:12" ht="41.4" x14ac:dyDescent="0.3">
      <c r="A5" s="52" t="s">
        <v>33</v>
      </c>
      <c r="B5" s="53" t="s">
        <v>12</v>
      </c>
      <c r="C5" s="54" t="s">
        <v>34</v>
      </c>
      <c r="D5" s="54" t="s">
        <v>35</v>
      </c>
      <c r="E5" s="54" t="s">
        <v>13</v>
      </c>
      <c r="F5" s="54" t="s">
        <v>36</v>
      </c>
      <c r="G5" s="54" t="s">
        <v>37</v>
      </c>
      <c r="H5" s="53" t="s">
        <v>38</v>
      </c>
      <c r="I5" s="54" t="s">
        <v>39</v>
      </c>
      <c r="J5" s="54" t="s">
        <v>14</v>
      </c>
      <c r="K5" s="53" t="s">
        <v>40</v>
      </c>
      <c r="L5" s="55" t="s">
        <v>41</v>
      </c>
    </row>
    <row r="6" spans="1:12" ht="13.8" x14ac:dyDescent="0.3">
      <c r="A6" s="80" t="s">
        <v>42</v>
      </c>
      <c r="B6" s="57"/>
      <c r="C6" s="57"/>
      <c r="D6" s="81">
        <f>IFERROR(Reserve_Analysis[[#This Row],[Useful Life]]-Reserve_Analysis[[#This Row],[Yrs. in Use]],"")</f>
        <v>0</v>
      </c>
      <c r="E6" s="57"/>
      <c r="F6" s="82" t="str">
        <f>IFERROR(Reserve_Analysis[[#This Row],[Replac. Cost]]/Reserve_Analysis[[#This Row],[Useful Life]],"")</f>
        <v/>
      </c>
      <c r="G6" s="82" t="str">
        <f>IFERROR(Reserve_Analysis[[#This Row],[Yrs. in Use]]*Reserve_Analysis[[#This Row],[Annual  Payment Amount]],"")</f>
        <v/>
      </c>
      <c r="H6" s="60"/>
      <c r="I6" s="82" t="str">
        <f>IFERROR(Reserve_Analysis[[#This Row],[Actual Reserves ]]-Reserve_Analysis[[#This Row],[Required Reserves]],"")</f>
        <v/>
      </c>
      <c r="J6" s="83" t="str">
        <f>IFERROR(Reserve_Analysis[[#This Row],[Actual Reserves ]]/Reserve_Analysis[[#This Row],[Required Reserves]],"")</f>
        <v/>
      </c>
      <c r="K6" s="82">
        <f>IF(Reserve_Analysis[[#This Row],[Actual Reserves ]]&gt;= Reserve_Analysis[[#This Row],[Replac. Cost]],0,Reserve_Analysis[[#This Row],[Replac. Cost]]-Reserve_Analysis[[#This Row],[Actual Reserves ]])</f>
        <v>0</v>
      </c>
      <c r="L6" s="82">
        <f>IF(AND(Reserve_Analysis[[#This Row],[Remain. Life]]=0,Reserve_Analysis[[#This Row],[Amount to Fund Replac. ]]&gt;0),Reserve_Analysis[[#This Row],[Amount to Fund Replac. ]]/5,(IF(AND(Reserve_Analysis[[#This Row],[Remain. Life]]&gt;0,Reserve_Analysis[[#This Row],[Amount to Fund Replac. ]]&gt;0),Reserve_Analysis[[#This Row],[Amount to Fund Replac. ]]/Reserve_Analysis[[#This Row],[Remain. Life]],(IF(AND(Reserve_Analysis[[#This Row],[Remain. Life]]&gt;0,Reserve_Analysis[[#This Row],[Amount to Fund Replac. ]]=0),0,(IF(AND(Reserve_Analysis[[#This Row],[Remain. Life]]=0,Reserve_Analysis[[#This Row],[Amount to Fund Replac. ]]=0),0)))))))</f>
        <v>0</v>
      </c>
    </row>
    <row r="7" spans="1:12" ht="13.8" x14ac:dyDescent="0.3">
      <c r="A7" s="84"/>
      <c r="B7" s="57"/>
      <c r="C7" s="57"/>
      <c r="D7" s="81">
        <f>IFERROR(Reserve_Analysis[[#This Row],[Useful Life]]-Reserve_Analysis[[#This Row],[Yrs. in Use]],"")</f>
        <v>0</v>
      </c>
      <c r="E7" s="57"/>
      <c r="F7" s="59" t="str">
        <f>IFERROR(Reserve_Analysis[[#This Row],[Replac. Cost]]/Reserve_Analysis[[#This Row],[Useful Life]],"")</f>
        <v/>
      </c>
      <c r="G7" s="59" t="str">
        <f>IFERROR(Reserve_Analysis[[#This Row],[Yrs. in Use]]*Reserve_Analysis[[#This Row],[Annual  Payment Amount]],"")</f>
        <v/>
      </c>
      <c r="H7" s="60"/>
      <c r="I7" s="82" t="str">
        <f>IFERROR(Reserve_Analysis[[#This Row],[Actual Reserves ]]-Reserve_Analysis[[#This Row],[Required Reserves]],"")</f>
        <v/>
      </c>
      <c r="J7" s="83" t="str">
        <f>IFERROR(Reserve_Analysis[[#This Row],[Actual Reserves ]]/Reserve_Analysis[[#This Row],[Required Reserves]],"")</f>
        <v/>
      </c>
      <c r="K7" s="82">
        <f>IF(Reserve_Analysis[[#This Row],[Actual Reserves ]]&gt;= Reserve_Analysis[[#This Row],[Replac. Cost]],0,Reserve_Analysis[[#This Row],[Replac. Cost]]-Reserve_Analysis[[#This Row],[Actual Reserves ]])</f>
        <v>0</v>
      </c>
      <c r="L7" s="82">
        <f>IF(AND(Reserve_Analysis[[#This Row],[Remain. Life]]=0,Reserve_Analysis[[#This Row],[Amount to Fund Replac. ]]&gt;0),Reserve_Analysis[[#This Row],[Amount to Fund Replac. ]]/5,(IF(AND(Reserve_Analysis[[#This Row],[Remain. Life]]&gt;0,Reserve_Analysis[[#This Row],[Amount to Fund Replac. ]]&gt;0),Reserve_Analysis[[#This Row],[Amount to Fund Replac. ]]/Reserve_Analysis[[#This Row],[Remain. Life]],(IF(AND(Reserve_Analysis[[#This Row],[Remain. Life]]&gt;0,Reserve_Analysis[[#This Row],[Amount to Fund Replac. ]]=0),0,(IF(AND(Reserve_Analysis[[#This Row],[Remain. Life]]=0,Reserve_Analysis[[#This Row],[Amount to Fund Replac. ]]=0),0)))))))</f>
        <v>0</v>
      </c>
    </row>
    <row r="8" spans="1:12" ht="13.8" x14ac:dyDescent="0.3">
      <c r="A8" s="84"/>
      <c r="B8" s="57"/>
      <c r="C8" s="57"/>
      <c r="D8" s="81">
        <f>IFERROR(Reserve_Analysis[[#This Row],[Useful Life]]-Reserve_Analysis[[#This Row],[Yrs. in Use]],"")</f>
        <v>0</v>
      </c>
      <c r="E8" s="57"/>
      <c r="F8" s="59" t="str">
        <f>IFERROR(Reserve_Analysis[[#This Row],[Replac. Cost]]/Reserve_Analysis[[#This Row],[Useful Life]],"")</f>
        <v/>
      </c>
      <c r="G8" s="59" t="str">
        <f>IFERROR(Reserve_Analysis[[#This Row],[Yrs. in Use]]*Reserve_Analysis[[#This Row],[Annual  Payment Amount]],"")</f>
        <v/>
      </c>
      <c r="H8" s="60"/>
      <c r="I8" s="82" t="str">
        <f>IFERROR(Reserve_Analysis[[#This Row],[Actual Reserves ]]-Reserve_Analysis[[#This Row],[Required Reserves]],"")</f>
        <v/>
      </c>
      <c r="J8" s="83" t="str">
        <f>IFERROR(Reserve_Analysis[[#This Row],[Actual Reserves ]]/Reserve_Analysis[[#This Row],[Required Reserves]],"")</f>
        <v/>
      </c>
      <c r="K8" s="82">
        <f>IF(Reserve_Analysis[[#This Row],[Actual Reserves ]]&gt;= Reserve_Analysis[[#This Row],[Replac. Cost]],0,Reserve_Analysis[[#This Row],[Replac. Cost]]-Reserve_Analysis[[#This Row],[Actual Reserves ]])</f>
        <v>0</v>
      </c>
      <c r="L8" s="82">
        <f>IF(AND(Reserve_Analysis[[#This Row],[Remain. Life]]=0,Reserve_Analysis[[#This Row],[Amount to Fund Replac. ]]&gt;0),Reserve_Analysis[[#This Row],[Amount to Fund Replac. ]]/5,(IF(AND(Reserve_Analysis[[#This Row],[Remain. Life]]&gt;0,Reserve_Analysis[[#This Row],[Amount to Fund Replac. ]]&gt;0),Reserve_Analysis[[#This Row],[Amount to Fund Replac. ]]/Reserve_Analysis[[#This Row],[Remain. Life]],(IF(AND(Reserve_Analysis[[#This Row],[Remain. Life]]&gt;0,Reserve_Analysis[[#This Row],[Amount to Fund Replac. ]]=0),0,(IF(AND(Reserve_Analysis[[#This Row],[Remain. Life]]=0,Reserve_Analysis[[#This Row],[Amount to Fund Replac. ]]=0),0)))))))</f>
        <v>0</v>
      </c>
    </row>
    <row r="9" spans="1:12" ht="13.8" x14ac:dyDescent="0.3">
      <c r="A9" s="84"/>
      <c r="B9" s="57"/>
      <c r="C9" s="57"/>
      <c r="D9" s="81">
        <f>IFERROR(Reserve_Analysis[[#This Row],[Useful Life]]-Reserve_Analysis[[#This Row],[Yrs. in Use]],"")</f>
        <v>0</v>
      </c>
      <c r="E9" s="57"/>
      <c r="F9" s="59" t="str">
        <f>IFERROR(Reserve_Analysis[[#This Row],[Replac. Cost]]/Reserve_Analysis[[#This Row],[Useful Life]],"")</f>
        <v/>
      </c>
      <c r="G9" s="59" t="str">
        <f>IFERROR(Reserve_Analysis[[#This Row],[Yrs. in Use]]*Reserve_Analysis[[#This Row],[Annual  Payment Amount]],"")</f>
        <v/>
      </c>
      <c r="H9" s="60"/>
      <c r="I9" s="82" t="str">
        <f>IFERROR(Reserve_Analysis[[#This Row],[Actual Reserves ]]-Reserve_Analysis[[#This Row],[Required Reserves]],"")</f>
        <v/>
      </c>
      <c r="J9" s="83" t="str">
        <f>IFERROR(Reserve_Analysis[[#This Row],[Actual Reserves ]]/Reserve_Analysis[[#This Row],[Required Reserves]],"")</f>
        <v/>
      </c>
      <c r="K9" s="82">
        <f>IF(Reserve_Analysis[[#This Row],[Actual Reserves ]]&gt;= Reserve_Analysis[[#This Row],[Replac. Cost]],0,Reserve_Analysis[[#This Row],[Replac. Cost]]-Reserve_Analysis[[#This Row],[Actual Reserves ]])</f>
        <v>0</v>
      </c>
      <c r="L9" s="82">
        <f>IF(AND(Reserve_Analysis[[#This Row],[Remain. Life]]=0,Reserve_Analysis[[#This Row],[Amount to Fund Replac. ]]&gt;0),Reserve_Analysis[[#This Row],[Amount to Fund Replac. ]]/5,(IF(AND(Reserve_Analysis[[#This Row],[Remain. Life]]&gt;0,Reserve_Analysis[[#This Row],[Amount to Fund Replac. ]]&gt;0),Reserve_Analysis[[#This Row],[Amount to Fund Replac. ]]/Reserve_Analysis[[#This Row],[Remain. Life]],(IF(AND(Reserve_Analysis[[#This Row],[Remain. Life]]&gt;0,Reserve_Analysis[[#This Row],[Amount to Fund Replac. ]]=0),0,(IF(AND(Reserve_Analysis[[#This Row],[Remain. Life]]=0,Reserve_Analysis[[#This Row],[Amount to Fund Replac. ]]=0),0)))))))</f>
        <v>0</v>
      </c>
    </row>
    <row r="10" spans="1:12" ht="13.8" x14ac:dyDescent="0.3">
      <c r="A10" s="84"/>
      <c r="B10" s="57"/>
      <c r="C10" s="57"/>
      <c r="D10" s="81">
        <f>IFERROR(Reserve_Analysis[[#This Row],[Useful Life]]-Reserve_Analysis[[#This Row],[Yrs. in Use]],"")</f>
        <v>0</v>
      </c>
      <c r="E10" s="57"/>
      <c r="F10" s="59" t="str">
        <f>IFERROR(Reserve_Analysis[[#This Row],[Replac. Cost]]/Reserve_Analysis[[#This Row],[Useful Life]],"")</f>
        <v/>
      </c>
      <c r="G10" s="59" t="str">
        <f>IFERROR(Reserve_Analysis[[#This Row],[Yrs. in Use]]*Reserve_Analysis[[#This Row],[Annual  Payment Amount]],"")</f>
        <v/>
      </c>
      <c r="H10" s="60"/>
      <c r="I10" s="82" t="str">
        <f>IFERROR(Reserve_Analysis[[#This Row],[Actual Reserves ]]-Reserve_Analysis[[#This Row],[Required Reserves]],"")</f>
        <v/>
      </c>
      <c r="J10" s="83" t="str">
        <f>IFERROR(Reserve_Analysis[[#This Row],[Actual Reserves ]]/Reserve_Analysis[[#This Row],[Required Reserves]],"")</f>
        <v/>
      </c>
      <c r="K10" s="82">
        <f>IF(Reserve_Analysis[[#This Row],[Actual Reserves ]]&gt;= Reserve_Analysis[[#This Row],[Replac. Cost]],0,Reserve_Analysis[[#This Row],[Replac. Cost]]-Reserve_Analysis[[#This Row],[Actual Reserves ]])</f>
        <v>0</v>
      </c>
      <c r="L10" s="82">
        <f>IF(AND(Reserve_Analysis[[#This Row],[Remain. Life]]=0,Reserve_Analysis[[#This Row],[Amount to Fund Replac. ]]&gt;0),Reserve_Analysis[[#This Row],[Amount to Fund Replac. ]]/5,(IF(AND(Reserve_Analysis[[#This Row],[Remain. Life]]&gt;0,Reserve_Analysis[[#This Row],[Amount to Fund Replac. ]]&gt;0),Reserve_Analysis[[#This Row],[Amount to Fund Replac. ]]/Reserve_Analysis[[#This Row],[Remain. Life]],(IF(AND(Reserve_Analysis[[#This Row],[Remain. Life]]&gt;0,Reserve_Analysis[[#This Row],[Amount to Fund Replac. ]]=0),0,(IF(AND(Reserve_Analysis[[#This Row],[Remain. Life]]=0,Reserve_Analysis[[#This Row],[Amount to Fund Replac. ]]=0),0)))))))</f>
        <v>0</v>
      </c>
    </row>
    <row r="11" spans="1:12" ht="13.8" x14ac:dyDescent="0.3">
      <c r="A11" s="84"/>
      <c r="B11" s="57"/>
      <c r="C11" s="57"/>
      <c r="D11" s="81">
        <f>IFERROR(Reserve_Analysis[[#This Row],[Useful Life]]-Reserve_Analysis[[#This Row],[Yrs. in Use]],"")</f>
        <v>0</v>
      </c>
      <c r="E11" s="57"/>
      <c r="F11" s="59" t="str">
        <f>IFERROR(Reserve_Analysis[[#This Row],[Replac. Cost]]/Reserve_Analysis[[#This Row],[Useful Life]],"")</f>
        <v/>
      </c>
      <c r="G11" s="59" t="str">
        <f>IFERROR(Reserve_Analysis[[#This Row],[Yrs. in Use]]*Reserve_Analysis[[#This Row],[Annual  Payment Amount]],"")</f>
        <v/>
      </c>
      <c r="H11" s="60"/>
      <c r="I11" s="82" t="str">
        <f>IFERROR(Reserve_Analysis[[#This Row],[Actual Reserves ]]-Reserve_Analysis[[#This Row],[Required Reserves]],"")</f>
        <v/>
      </c>
      <c r="J11" s="83" t="str">
        <f>IFERROR(Reserve_Analysis[[#This Row],[Actual Reserves ]]/Reserve_Analysis[[#This Row],[Required Reserves]],"")</f>
        <v/>
      </c>
      <c r="K11" s="82">
        <f>IF(Reserve_Analysis[[#This Row],[Actual Reserves ]]&gt;= Reserve_Analysis[[#This Row],[Replac. Cost]],0,Reserve_Analysis[[#This Row],[Replac. Cost]]-Reserve_Analysis[[#This Row],[Actual Reserves ]])</f>
        <v>0</v>
      </c>
      <c r="L11" s="82">
        <f>IF(AND(Reserve_Analysis[[#This Row],[Remain. Life]]=0,Reserve_Analysis[[#This Row],[Amount to Fund Replac. ]]&gt;0),Reserve_Analysis[[#This Row],[Amount to Fund Replac. ]]/5,(IF(AND(Reserve_Analysis[[#This Row],[Remain. Life]]&gt;0,Reserve_Analysis[[#This Row],[Amount to Fund Replac. ]]&gt;0),Reserve_Analysis[[#This Row],[Amount to Fund Replac. ]]/Reserve_Analysis[[#This Row],[Remain. Life]],(IF(AND(Reserve_Analysis[[#This Row],[Remain. Life]]&gt;0,Reserve_Analysis[[#This Row],[Amount to Fund Replac. ]]=0),0,(IF(AND(Reserve_Analysis[[#This Row],[Remain. Life]]=0,Reserve_Analysis[[#This Row],[Amount to Fund Replac. ]]=0),0)))))))</f>
        <v>0</v>
      </c>
    </row>
    <row r="12" spans="1:12" ht="13.8" x14ac:dyDescent="0.3">
      <c r="A12" s="84"/>
      <c r="B12" s="57"/>
      <c r="C12" s="71"/>
      <c r="D12" s="81">
        <f>IFERROR(Reserve_Analysis[[#This Row],[Useful Life]]-Reserve_Analysis[[#This Row],[Yrs. in Use]],"")</f>
        <v>0</v>
      </c>
      <c r="E12" s="57"/>
      <c r="F12" s="70" t="str">
        <f>IFERROR(Reserve_Analysis[[#This Row],[Replac. Cost]]/Reserve_Analysis[[#This Row],[Useful Life]],"")</f>
        <v/>
      </c>
      <c r="G12" s="59" t="str">
        <f>IFERROR(Reserve_Analysis[[#This Row],[Yrs. in Use]]*Reserve_Analysis[[#This Row],[Annual  Payment Amount]],"")</f>
        <v/>
      </c>
      <c r="H12" s="69"/>
      <c r="I12" s="82" t="str">
        <f>IFERROR(Reserve_Analysis[[#This Row],[Actual Reserves ]]-Reserve_Analysis[[#This Row],[Required Reserves]],"")</f>
        <v/>
      </c>
      <c r="J12" s="85" t="str">
        <f>IFERROR(Reserve_Analysis[[#This Row],[Actual Reserves ]]/Reserve_Analysis[[#This Row],[Required Reserves]],"")</f>
        <v/>
      </c>
      <c r="K12" s="82">
        <f>IF(Reserve_Analysis[[#This Row],[Actual Reserves ]]&gt;= Reserve_Analysis[[#This Row],[Replac. Cost]],0,Reserve_Analysis[[#This Row],[Replac. Cost]]-Reserve_Analysis[[#This Row],[Actual Reserves ]])</f>
        <v>0</v>
      </c>
      <c r="L12" s="82">
        <f>IF(AND(Reserve_Analysis[[#This Row],[Remain. Life]]=0,Reserve_Analysis[[#This Row],[Amount to Fund Replac. ]]&gt;0),Reserve_Analysis[[#This Row],[Amount to Fund Replac. ]]/5,(IF(AND(Reserve_Analysis[[#This Row],[Remain. Life]]&gt;0,Reserve_Analysis[[#This Row],[Amount to Fund Replac. ]]&gt;0),Reserve_Analysis[[#This Row],[Amount to Fund Replac. ]]/Reserve_Analysis[[#This Row],[Remain. Life]],(IF(AND(Reserve_Analysis[[#This Row],[Remain. Life]]&gt;0,Reserve_Analysis[[#This Row],[Amount to Fund Replac. ]]=0),0,(IF(AND(Reserve_Analysis[[#This Row],[Remain. Life]]=0,Reserve_Analysis[[#This Row],[Amount to Fund Replac. ]]=0),0)))))))</f>
        <v>0</v>
      </c>
    </row>
    <row r="13" spans="1:12" ht="13.8" x14ac:dyDescent="0.3">
      <c r="A13" s="84"/>
      <c r="B13" s="57"/>
      <c r="C13" s="71"/>
      <c r="D13" s="81">
        <f>IFERROR(Reserve_Analysis[[#This Row],[Useful Life]]-Reserve_Analysis[[#This Row],[Yrs. in Use]],"")</f>
        <v>0</v>
      </c>
      <c r="E13" s="57"/>
      <c r="F13" s="70" t="str">
        <f>IFERROR(Reserve_Analysis[[#This Row],[Replac. Cost]]/Reserve_Analysis[[#This Row],[Useful Life]],"")</f>
        <v/>
      </c>
      <c r="G13" s="59" t="str">
        <f>IFERROR(Reserve_Analysis[[#This Row],[Yrs. in Use]]*Reserve_Analysis[[#This Row],[Annual  Payment Amount]],"")</f>
        <v/>
      </c>
      <c r="H13" s="69"/>
      <c r="I13" s="82" t="str">
        <f>IFERROR(Reserve_Analysis[[#This Row],[Actual Reserves ]]-Reserve_Analysis[[#This Row],[Required Reserves]],"")</f>
        <v/>
      </c>
      <c r="J13" s="85" t="str">
        <f>IFERROR(Reserve_Analysis[[#This Row],[Actual Reserves ]]/Reserve_Analysis[[#This Row],[Required Reserves]],"")</f>
        <v/>
      </c>
      <c r="K13" s="82">
        <f>IF(Reserve_Analysis[[#This Row],[Actual Reserves ]]&gt;= Reserve_Analysis[[#This Row],[Replac. Cost]],0,Reserve_Analysis[[#This Row],[Replac. Cost]]-Reserve_Analysis[[#This Row],[Actual Reserves ]])</f>
        <v>0</v>
      </c>
      <c r="L13" s="82">
        <f>IF(AND(Reserve_Analysis[[#This Row],[Remain. Life]]=0,Reserve_Analysis[[#This Row],[Amount to Fund Replac. ]]&gt;0),Reserve_Analysis[[#This Row],[Amount to Fund Replac. ]]/5,(IF(AND(Reserve_Analysis[[#This Row],[Remain. Life]]&gt;0,Reserve_Analysis[[#This Row],[Amount to Fund Replac. ]]&gt;0),Reserve_Analysis[[#This Row],[Amount to Fund Replac. ]]/Reserve_Analysis[[#This Row],[Remain. Life]],(IF(AND(Reserve_Analysis[[#This Row],[Remain. Life]]&gt;0,Reserve_Analysis[[#This Row],[Amount to Fund Replac. ]]=0),0,(IF(AND(Reserve_Analysis[[#This Row],[Remain. Life]]=0,Reserve_Analysis[[#This Row],[Amount to Fund Replac. ]]=0),0)))))))</f>
        <v>0</v>
      </c>
    </row>
    <row r="14" spans="1:12" ht="13.8" x14ac:dyDescent="0.3">
      <c r="A14" s="84"/>
      <c r="B14" s="57"/>
      <c r="C14" s="71"/>
      <c r="D14" s="81">
        <f>IFERROR(Reserve_Analysis[[#This Row],[Useful Life]]-Reserve_Analysis[[#This Row],[Yrs. in Use]],"")</f>
        <v>0</v>
      </c>
      <c r="E14" s="57"/>
      <c r="F14" s="70" t="str">
        <f>IFERROR(Reserve_Analysis[[#This Row],[Replac. Cost]]/Reserve_Analysis[[#This Row],[Useful Life]],"")</f>
        <v/>
      </c>
      <c r="G14" s="59" t="str">
        <f>IFERROR(Reserve_Analysis[[#This Row],[Yrs. in Use]]*Reserve_Analysis[[#This Row],[Annual  Payment Amount]],"")</f>
        <v/>
      </c>
      <c r="H14" s="69"/>
      <c r="I14" s="82" t="str">
        <f>IFERROR(Reserve_Analysis[[#This Row],[Actual Reserves ]]-Reserve_Analysis[[#This Row],[Required Reserves]],"")</f>
        <v/>
      </c>
      <c r="J14" s="85" t="str">
        <f>IFERROR(Reserve_Analysis[[#This Row],[Actual Reserves ]]/Reserve_Analysis[[#This Row],[Required Reserves]],"")</f>
        <v/>
      </c>
      <c r="K14" s="82">
        <f>IF(Reserve_Analysis[[#This Row],[Actual Reserves ]]&gt;= Reserve_Analysis[[#This Row],[Replac. Cost]],0,Reserve_Analysis[[#This Row],[Replac. Cost]]-Reserve_Analysis[[#This Row],[Actual Reserves ]])</f>
        <v>0</v>
      </c>
      <c r="L14" s="82">
        <f>IF(AND(Reserve_Analysis[[#This Row],[Remain. Life]]=0,Reserve_Analysis[[#This Row],[Amount to Fund Replac. ]]&gt;0),Reserve_Analysis[[#This Row],[Amount to Fund Replac. ]]/5,(IF(AND(Reserve_Analysis[[#This Row],[Remain. Life]]&gt;0,Reserve_Analysis[[#This Row],[Amount to Fund Replac. ]]&gt;0),Reserve_Analysis[[#This Row],[Amount to Fund Replac. ]]/Reserve_Analysis[[#This Row],[Remain. Life]],(IF(AND(Reserve_Analysis[[#This Row],[Remain. Life]]&gt;0,Reserve_Analysis[[#This Row],[Amount to Fund Replac. ]]=0),0,(IF(AND(Reserve_Analysis[[#This Row],[Remain. Life]]=0,Reserve_Analysis[[#This Row],[Amount to Fund Replac. ]]=0),0)))))))</f>
        <v>0</v>
      </c>
    </row>
    <row r="15" spans="1:12" ht="13.8" x14ac:dyDescent="0.3">
      <c r="A15" s="84"/>
      <c r="B15" s="57"/>
      <c r="C15" s="71"/>
      <c r="D15" s="81">
        <f>IFERROR(Reserve_Analysis[[#This Row],[Useful Life]]-Reserve_Analysis[[#This Row],[Yrs. in Use]],"")</f>
        <v>0</v>
      </c>
      <c r="E15" s="57"/>
      <c r="F15" s="70" t="str">
        <f>IFERROR(Reserve_Analysis[[#This Row],[Replac. Cost]]/Reserve_Analysis[[#This Row],[Useful Life]],"")</f>
        <v/>
      </c>
      <c r="G15" s="59" t="str">
        <f>IFERROR(Reserve_Analysis[[#This Row],[Yrs. in Use]]*Reserve_Analysis[[#This Row],[Annual  Payment Amount]],"")</f>
        <v/>
      </c>
      <c r="H15" s="69"/>
      <c r="I15" s="82" t="str">
        <f>IFERROR(Reserve_Analysis[[#This Row],[Actual Reserves ]]-Reserve_Analysis[[#This Row],[Required Reserves]],"")</f>
        <v/>
      </c>
      <c r="J15" s="85" t="str">
        <f>IFERROR(Reserve_Analysis[[#This Row],[Actual Reserves ]]/Reserve_Analysis[[#This Row],[Required Reserves]],"")</f>
        <v/>
      </c>
      <c r="K15" s="82">
        <f>IF(Reserve_Analysis[[#This Row],[Actual Reserves ]]&gt;= Reserve_Analysis[[#This Row],[Replac. Cost]],0,Reserve_Analysis[[#This Row],[Replac. Cost]]-Reserve_Analysis[[#This Row],[Actual Reserves ]])</f>
        <v>0</v>
      </c>
      <c r="L15" s="82">
        <f>IF(AND(Reserve_Analysis[[#This Row],[Remain. Life]]=0,Reserve_Analysis[[#This Row],[Amount to Fund Replac. ]]&gt;0),Reserve_Analysis[[#This Row],[Amount to Fund Replac. ]]/5,(IF(AND(Reserve_Analysis[[#This Row],[Remain. Life]]&gt;0,Reserve_Analysis[[#This Row],[Amount to Fund Replac. ]]&gt;0),Reserve_Analysis[[#This Row],[Amount to Fund Replac. ]]/Reserve_Analysis[[#This Row],[Remain. Life]],(IF(AND(Reserve_Analysis[[#This Row],[Remain. Life]]&gt;0,Reserve_Analysis[[#This Row],[Amount to Fund Replac. ]]=0),0,(IF(AND(Reserve_Analysis[[#This Row],[Remain. Life]]=0,Reserve_Analysis[[#This Row],[Amount to Fund Replac. ]]=0),0)))))))</f>
        <v>0</v>
      </c>
    </row>
    <row r="16" spans="1:12" ht="13.8" x14ac:dyDescent="0.3">
      <c r="A16" s="84"/>
      <c r="B16" s="57"/>
      <c r="C16" s="71"/>
      <c r="D16" s="81">
        <f>IFERROR(Reserve_Analysis[[#This Row],[Useful Life]]-Reserve_Analysis[[#This Row],[Yrs. in Use]],"")</f>
        <v>0</v>
      </c>
      <c r="E16" s="57"/>
      <c r="F16" s="70" t="str">
        <f>IFERROR(Reserve_Analysis[[#This Row],[Replac. Cost]]/Reserve_Analysis[[#This Row],[Useful Life]],"")</f>
        <v/>
      </c>
      <c r="G16" s="59" t="str">
        <f>IFERROR(Reserve_Analysis[[#This Row],[Yrs. in Use]]*Reserve_Analysis[[#This Row],[Annual  Payment Amount]],"")</f>
        <v/>
      </c>
      <c r="H16" s="69"/>
      <c r="I16" s="82" t="str">
        <f>IFERROR(Reserve_Analysis[[#This Row],[Actual Reserves ]]-Reserve_Analysis[[#This Row],[Required Reserves]],"")</f>
        <v/>
      </c>
      <c r="J16" s="85" t="str">
        <f>IFERROR(Reserve_Analysis[[#This Row],[Actual Reserves ]]/Reserve_Analysis[[#This Row],[Required Reserves]],"")</f>
        <v/>
      </c>
      <c r="K16" s="82">
        <f>IF(Reserve_Analysis[[#This Row],[Actual Reserves ]]&gt;= Reserve_Analysis[[#This Row],[Replac. Cost]],0,Reserve_Analysis[[#This Row],[Replac. Cost]]-Reserve_Analysis[[#This Row],[Actual Reserves ]])</f>
        <v>0</v>
      </c>
      <c r="L16" s="82">
        <f>IF(AND(Reserve_Analysis[[#This Row],[Remain. Life]]=0,Reserve_Analysis[[#This Row],[Amount to Fund Replac. ]]&gt;0),Reserve_Analysis[[#This Row],[Amount to Fund Replac. ]]/5,(IF(AND(Reserve_Analysis[[#This Row],[Remain. Life]]&gt;0,Reserve_Analysis[[#This Row],[Amount to Fund Replac. ]]&gt;0),Reserve_Analysis[[#This Row],[Amount to Fund Replac. ]]/Reserve_Analysis[[#This Row],[Remain. Life]],(IF(AND(Reserve_Analysis[[#This Row],[Remain. Life]]&gt;0,Reserve_Analysis[[#This Row],[Amount to Fund Replac. ]]=0),0,(IF(AND(Reserve_Analysis[[#This Row],[Remain. Life]]=0,Reserve_Analysis[[#This Row],[Amount to Fund Replac. ]]=0),0)))))))</f>
        <v>0</v>
      </c>
    </row>
    <row r="17" spans="1:12" ht="13.8" x14ac:dyDescent="0.3">
      <c r="A17" s="84"/>
      <c r="B17" s="57"/>
      <c r="C17" s="71"/>
      <c r="D17" s="81">
        <f>IFERROR(Reserve_Analysis[[#This Row],[Useful Life]]-Reserve_Analysis[[#This Row],[Yrs. in Use]],"")</f>
        <v>0</v>
      </c>
      <c r="E17" s="57"/>
      <c r="F17" s="70" t="str">
        <f>IFERROR(Reserve_Analysis[[#This Row],[Replac. Cost]]/Reserve_Analysis[[#This Row],[Useful Life]],"")</f>
        <v/>
      </c>
      <c r="G17" s="59" t="str">
        <f>IFERROR(Reserve_Analysis[[#This Row],[Yrs. in Use]]*Reserve_Analysis[[#This Row],[Annual  Payment Amount]],"")</f>
        <v/>
      </c>
      <c r="H17" s="69"/>
      <c r="I17" s="82" t="str">
        <f>IFERROR(Reserve_Analysis[[#This Row],[Actual Reserves ]]-Reserve_Analysis[[#This Row],[Required Reserves]],"")</f>
        <v/>
      </c>
      <c r="J17" s="85" t="str">
        <f>IFERROR(Reserve_Analysis[[#This Row],[Actual Reserves ]]/Reserve_Analysis[[#This Row],[Required Reserves]],"")</f>
        <v/>
      </c>
      <c r="K17" s="82">
        <f>IF(Reserve_Analysis[[#This Row],[Actual Reserves ]]&gt;= Reserve_Analysis[[#This Row],[Replac. Cost]],0,Reserve_Analysis[[#This Row],[Replac. Cost]]-Reserve_Analysis[[#This Row],[Actual Reserves ]])</f>
        <v>0</v>
      </c>
      <c r="L17" s="82">
        <f>IF(AND(Reserve_Analysis[[#This Row],[Remain. Life]]=0,Reserve_Analysis[[#This Row],[Amount to Fund Replac. ]]&gt;0),Reserve_Analysis[[#This Row],[Amount to Fund Replac. ]]/5,(IF(AND(Reserve_Analysis[[#This Row],[Remain. Life]]&gt;0,Reserve_Analysis[[#This Row],[Amount to Fund Replac. ]]&gt;0),Reserve_Analysis[[#This Row],[Amount to Fund Replac. ]]/Reserve_Analysis[[#This Row],[Remain. Life]],(IF(AND(Reserve_Analysis[[#This Row],[Remain. Life]]&gt;0,Reserve_Analysis[[#This Row],[Amount to Fund Replac. ]]=0),0,(IF(AND(Reserve_Analysis[[#This Row],[Remain. Life]]=0,Reserve_Analysis[[#This Row],[Amount to Fund Replac. ]]=0),0)))))))</f>
        <v>0</v>
      </c>
    </row>
    <row r="18" spans="1:12" ht="13.8" x14ac:dyDescent="0.3">
      <c r="A18" s="84"/>
      <c r="B18" s="57"/>
      <c r="C18" s="71"/>
      <c r="D18" s="81">
        <f>IFERROR(Reserve_Analysis[[#This Row],[Useful Life]]-Reserve_Analysis[[#This Row],[Yrs. in Use]],"")</f>
        <v>0</v>
      </c>
      <c r="E18" s="57"/>
      <c r="F18" s="70" t="str">
        <f>IFERROR(Reserve_Analysis[[#This Row],[Replac. Cost]]/Reserve_Analysis[[#This Row],[Useful Life]],"")</f>
        <v/>
      </c>
      <c r="G18" s="59" t="str">
        <f>IFERROR(Reserve_Analysis[[#This Row],[Yrs. in Use]]*Reserve_Analysis[[#This Row],[Annual  Payment Amount]],"")</f>
        <v/>
      </c>
      <c r="H18" s="69"/>
      <c r="I18" s="82" t="str">
        <f>IFERROR(Reserve_Analysis[[#This Row],[Actual Reserves ]]-Reserve_Analysis[[#This Row],[Required Reserves]],"")</f>
        <v/>
      </c>
      <c r="J18" s="85" t="str">
        <f>IFERROR(Reserve_Analysis[[#This Row],[Actual Reserves ]]/Reserve_Analysis[[#This Row],[Required Reserves]],"")</f>
        <v/>
      </c>
      <c r="K18" s="82">
        <f>IF(Reserve_Analysis[[#This Row],[Actual Reserves ]]&gt;= Reserve_Analysis[[#This Row],[Replac. Cost]],0,Reserve_Analysis[[#This Row],[Replac. Cost]]-Reserve_Analysis[[#This Row],[Actual Reserves ]])</f>
        <v>0</v>
      </c>
      <c r="L18" s="82">
        <f>IF(AND(Reserve_Analysis[[#This Row],[Remain. Life]]=0,Reserve_Analysis[[#This Row],[Amount to Fund Replac. ]]&gt;0),Reserve_Analysis[[#This Row],[Amount to Fund Replac. ]]/5,(IF(AND(Reserve_Analysis[[#This Row],[Remain. Life]]&gt;0,Reserve_Analysis[[#This Row],[Amount to Fund Replac. ]]&gt;0),Reserve_Analysis[[#This Row],[Amount to Fund Replac. ]]/Reserve_Analysis[[#This Row],[Remain. Life]],(IF(AND(Reserve_Analysis[[#This Row],[Remain. Life]]&gt;0,Reserve_Analysis[[#This Row],[Amount to Fund Replac. ]]=0),0,(IF(AND(Reserve_Analysis[[#This Row],[Remain. Life]]=0,Reserve_Analysis[[#This Row],[Amount to Fund Replac. ]]=0),0)))))))</f>
        <v>0</v>
      </c>
    </row>
    <row r="19" spans="1:12" ht="13.8" x14ac:dyDescent="0.3">
      <c r="A19" s="84"/>
      <c r="B19" s="57"/>
      <c r="C19" s="71"/>
      <c r="D19" s="81">
        <f>IFERROR(Reserve_Analysis[[#This Row],[Useful Life]]-Reserve_Analysis[[#This Row],[Yrs. in Use]],"")</f>
        <v>0</v>
      </c>
      <c r="E19" s="57"/>
      <c r="F19" s="70" t="str">
        <f>IFERROR(Reserve_Analysis[[#This Row],[Replac. Cost]]/Reserve_Analysis[[#This Row],[Useful Life]],"")</f>
        <v/>
      </c>
      <c r="G19" s="59" t="str">
        <f>IFERROR(Reserve_Analysis[[#This Row],[Yrs. in Use]]*Reserve_Analysis[[#This Row],[Annual  Payment Amount]],"")</f>
        <v/>
      </c>
      <c r="H19" s="69"/>
      <c r="I19" s="82" t="str">
        <f>IFERROR(Reserve_Analysis[[#This Row],[Actual Reserves ]]-Reserve_Analysis[[#This Row],[Required Reserves]],"")</f>
        <v/>
      </c>
      <c r="J19" s="85" t="str">
        <f>IFERROR(Reserve_Analysis[[#This Row],[Actual Reserves ]]/Reserve_Analysis[[#This Row],[Required Reserves]],"")</f>
        <v/>
      </c>
      <c r="K19" s="82">
        <f>IF(Reserve_Analysis[[#This Row],[Actual Reserves ]]&gt;= Reserve_Analysis[[#This Row],[Replac. Cost]],0,Reserve_Analysis[[#This Row],[Replac. Cost]]-Reserve_Analysis[[#This Row],[Actual Reserves ]])</f>
        <v>0</v>
      </c>
      <c r="L19" s="82">
        <f>IF(AND(Reserve_Analysis[[#This Row],[Remain. Life]]=0,Reserve_Analysis[[#This Row],[Amount to Fund Replac. ]]&gt;0),Reserve_Analysis[[#This Row],[Amount to Fund Replac. ]]/5,(IF(AND(Reserve_Analysis[[#This Row],[Remain. Life]]&gt;0,Reserve_Analysis[[#This Row],[Amount to Fund Replac. ]]&gt;0),Reserve_Analysis[[#This Row],[Amount to Fund Replac. ]]/Reserve_Analysis[[#This Row],[Remain. Life]],(IF(AND(Reserve_Analysis[[#This Row],[Remain. Life]]&gt;0,Reserve_Analysis[[#This Row],[Amount to Fund Replac. ]]=0),0,(IF(AND(Reserve_Analysis[[#This Row],[Remain. Life]]=0,Reserve_Analysis[[#This Row],[Amount to Fund Replac. ]]=0),0)))))))</f>
        <v>0</v>
      </c>
    </row>
    <row r="20" spans="1:12" ht="13.8" x14ac:dyDescent="0.3">
      <c r="A20" s="84"/>
      <c r="B20" s="57"/>
      <c r="C20" s="57"/>
      <c r="D20" s="81">
        <f>IFERROR(Reserve_Analysis[[#This Row],[Useful Life]]-Reserve_Analysis[[#This Row],[Yrs. in Use]],"")</f>
        <v>0</v>
      </c>
      <c r="E20" s="57"/>
      <c r="F20" s="59" t="str">
        <f>IFERROR(Reserve_Analysis[[#This Row],[Replac. Cost]]/Reserve_Analysis[[#This Row],[Useful Life]],"")</f>
        <v/>
      </c>
      <c r="G20" s="59" t="str">
        <f>IFERROR(Reserve_Analysis[[#This Row],[Yrs. in Use]]*Reserve_Analysis[[#This Row],[Annual  Payment Amount]],"")</f>
        <v/>
      </c>
      <c r="H20" s="60"/>
      <c r="I20" s="82" t="str">
        <f>IFERROR(Reserve_Analysis[[#This Row],[Actual Reserves ]]-Reserve_Analysis[[#This Row],[Required Reserves]],"")</f>
        <v/>
      </c>
      <c r="J20" s="83" t="str">
        <f>IFERROR(Reserve_Analysis[[#This Row],[Actual Reserves ]]/Reserve_Analysis[[#This Row],[Required Reserves]],"")</f>
        <v/>
      </c>
      <c r="K20" s="82">
        <f>IF(Reserve_Analysis[[#This Row],[Actual Reserves ]]&gt;= Reserve_Analysis[[#This Row],[Replac. Cost]],0,Reserve_Analysis[[#This Row],[Replac. Cost]]-Reserve_Analysis[[#This Row],[Actual Reserves ]])</f>
        <v>0</v>
      </c>
      <c r="L20" s="82">
        <f>IF(AND(Reserve_Analysis[[#This Row],[Remain. Life]]=0,Reserve_Analysis[[#This Row],[Amount to Fund Replac. ]]&gt;0),Reserve_Analysis[[#This Row],[Amount to Fund Replac. ]]/5,(IF(AND(Reserve_Analysis[[#This Row],[Remain. Life]]&gt;0,Reserve_Analysis[[#This Row],[Amount to Fund Replac. ]]&gt;0),Reserve_Analysis[[#This Row],[Amount to Fund Replac. ]]/Reserve_Analysis[[#This Row],[Remain. Life]],(IF(AND(Reserve_Analysis[[#This Row],[Remain. Life]]&gt;0,Reserve_Analysis[[#This Row],[Amount to Fund Replac. ]]=0),0,(IF(AND(Reserve_Analysis[[#This Row],[Remain. Life]]=0,Reserve_Analysis[[#This Row],[Amount to Fund Replac. ]]=0),0)))))))</f>
        <v>0</v>
      </c>
    </row>
    <row r="21" spans="1:12" ht="13.8" x14ac:dyDescent="0.3">
      <c r="A21" s="84"/>
      <c r="B21" s="57"/>
      <c r="C21" s="71"/>
      <c r="D21" s="81">
        <f>IFERROR(Reserve_Analysis[[#This Row],[Useful Life]]-Reserve_Analysis[[#This Row],[Yrs. in Use]],"")</f>
        <v>0</v>
      </c>
      <c r="E21" s="57"/>
      <c r="F21" s="70" t="str">
        <f>IFERROR(Reserve_Analysis[[#This Row],[Replac. Cost]]/Reserve_Analysis[[#This Row],[Useful Life]],"")</f>
        <v/>
      </c>
      <c r="G21" s="59" t="str">
        <f>IFERROR(Reserve_Analysis[[#This Row],[Yrs. in Use]]*Reserve_Analysis[[#This Row],[Annual  Payment Amount]],"")</f>
        <v/>
      </c>
      <c r="H21" s="69"/>
      <c r="I21" s="82" t="str">
        <f>IFERROR(Reserve_Analysis[[#This Row],[Actual Reserves ]]-Reserve_Analysis[[#This Row],[Required Reserves]],"")</f>
        <v/>
      </c>
      <c r="J21" s="85" t="str">
        <f>IFERROR(Reserve_Analysis[[#This Row],[Actual Reserves ]]/Reserve_Analysis[[#This Row],[Required Reserves]],"")</f>
        <v/>
      </c>
      <c r="K21" s="82">
        <f>IF(Reserve_Analysis[[#This Row],[Actual Reserves ]]&gt;= Reserve_Analysis[[#This Row],[Replac. Cost]],0,Reserve_Analysis[[#This Row],[Replac. Cost]]-Reserve_Analysis[[#This Row],[Actual Reserves ]])</f>
        <v>0</v>
      </c>
      <c r="L21" s="82">
        <f>IF(AND(Reserve_Analysis[[#This Row],[Remain. Life]]=0,Reserve_Analysis[[#This Row],[Amount to Fund Replac. ]]&gt;0),Reserve_Analysis[[#This Row],[Amount to Fund Replac. ]]/5,(IF(AND(Reserve_Analysis[[#This Row],[Remain. Life]]&gt;0,Reserve_Analysis[[#This Row],[Amount to Fund Replac. ]]&gt;0),Reserve_Analysis[[#This Row],[Amount to Fund Replac. ]]/Reserve_Analysis[[#This Row],[Remain. Life]],(IF(AND(Reserve_Analysis[[#This Row],[Remain. Life]]&gt;0,Reserve_Analysis[[#This Row],[Amount to Fund Replac. ]]=0),0,(IF(AND(Reserve_Analysis[[#This Row],[Remain. Life]]=0,Reserve_Analysis[[#This Row],[Amount to Fund Replac. ]]=0),0)))))))</f>
        <v>0</v>
      </c>
    </row>
    <row r="22" spans="1:12" ht="13.8" x14ac:dyDescent="0.3">
      <c r="A22" s="84"/>
      <c r="B22" s="57"/>
      <c r="C22" s="71"/>
      <c r="D22" s="81">
        <f>IFERROR(Reserve_Analysis[[#This Row],[Useful Life]]-Reserve_Analysis[[#This Row],[Yrs. in Use]],"")</f>
        <v>0</v>
      </c>
      <c r="E22" s="57"/>
      <c r="F22" s="70" t="str">
        <f>IFERROR(Reserve_Analysis[[#This Row],[Replac. Cost]]/Reserve_Analysis[[#This Row],[Useful Life]],"")</f>
        <v/>
      </c>
      <c r="G22" s="59" t="str">
        <f>IFERROR(Reserve_Analysis[[#This Row],[Yrs. in Use]]*Reserve_Analysis[[#This Row],[Annual  Payment Amount]],"")</f>
        <v/>
      </c>
      <c r="H22" s="69"/>
      <c r="I22" s="82" t="str">
        <f>IFERROR(Reserve_Analysis[[#This Row],[Actual Reserves ]]-Reserve_Analysis[[#This Row],[Required Reserves]],"")</f>
        <v/>
      </c>
      <c r="J22" s="85" t="str">
        <f>IFERROR(Reserve_Analysis[[#This Row],[Actual Reserves ]]/Reserve_Analysis[[#This Row],[Required Reserves]],"")</f>
        <v/>
      </c>
      <c r="K22" s="82">
        <f>IF(Reserve_Analysis[[#This Row],[Actual Reserves ]]&gt;= Reserve_Analysis[[#This Row],[Replac. Cost]],0,Reserve_Analysis[[#This Row],[Replac. Cost]]-Reserve_Analysis[[#This Row],[Actual Reserves ]])</f>
        <v>0</v>
      </c>
      <c r="L22" s="82">
        <f>IF(AND(Reserve_Analysis[[#This Row],[Remain. Life]]=0,Reserve_Analysis[[#This Row],[Amount to Fund Replac. ]]&gt;0),Reserve_Analysis[[#This Row],[Amount to Fund Replac. ]]/5,(IF(AND(Reserve_Analysis[[#This Row],[Remain. Life]]&gt;0,Reserve_Analysis[[#This Row],[Amount to Fund Replac. ]]&gt;0),Reserve_Analysis[[#This Row],[Amount to Fund Replac. ]]/Reserve_Analysis[[#This Row],[Remain. Life]],(IF(AND(Reserve_Analysis[[#This Row],[Remain. Life]]&gt;0,Reserve_Analysis[[#This Row],[Amount to Fund Replac. ]]=0),0,(IF(AND(Reserve_Analysis[[#This Row],[Remain. Life]]=0,Reserve_Analysis[[#This Row],[Amount to Fund Replac. ]]=0),0)))))))</f>
        <v>0</v>
      </c>
    </row>
    <row r="23" spans="1:12" ht="13.8" x14ac:dyDescent="0.3">
      <c r="A23" s="84"/>
      <c r="B23" s="57"/>
      <c r="C23" s="71"/>
      <c r="D23" s="81">
        <f>IFERROR(Reserve_Analysis[[#This Row],[Useful Life]]-Reserve_Analysis[[#This Row],[Yrs. in Use]],"")</f>
        <v>0</v>
      </c>
      <c r="E23" s="57"/>
      <c r="F23" s="70" t="str">
        <f>IFERROR(Reserve_Analysis[[#This Row],[Replac. Cost]]/Reserve_Analysis[[#This Row],[Useful Life]],"")</f>
        <v/>
      </c>
      <c r="G23" s="59" t="str">
        <f>IFERROR(Reserve_Analysis[[#This Row],[Yrs. in Use]]*Reserve_Analysis[[#This Row],[Annual  Payment Amount]],"")</f>
        <v/>
      </c>
      <c r="H23" s="69"/>
      <c r="I23" s="82" t="str">
        <f>IFERROR(Reserve_Analysis[[#This Row],[Actual Reserves ]]-Reserve_Analysis[[#This Row],[Required Reserves]],"")</f>
        <v/>
      </c>
      <c r="J23" s="85" t="str">
        <f>IFERROR(Reserve_Analysis[[#This Row],[Actual Reserves ]]/Reserve_Analysis[[#This Row],[Required Reserves]],"")</f>
        <v/>
      </c>
      <c r="K23" s="82">
        <f>IF(Reserve_Analysis[[#This Row],[Actual Reserves ]]&gt;= Reserve_Analysis[[#This Row],[Replac. Cost]],0,Reserve_Analysis[[#This Row],[Replac. Cost]]-Reserve_Analysis[[#This Row],[Actual Reserves ]])</f>
        <v>0</v>
      </c>
      <c r="L23" s="82">
        <f>IF(AND(Reserve_Analysis[[#This Row],[Remain. Life]]=0,Reserve_Analysis[[#This Row],[Amount to Fund Replac. ]]&gt;0),Reserve_Analysis[[#This Row],[Amount to Fund Replac. ]]/5,(IF(AND(Reserve_Analysis[[#This Row],[Remain. Life]]&gt;0,Reserve_Analysis[[#This Row],[Amount to Fund Replac. ]]&gt;0),Reserve_Analysis[[#This Row],[Amount to Fund Replac. ]]/Reserve_Analysis[[#This Row],[Remain. Life]],(IF(AND(Reserve_Analysis[[#This Row],[Remain. Life]]&gt;0,Reserve_Analysis[[#This Row],[Amount to Fund Replac. ]]=0),0,(IF(AND(Reserve_Analysis[[#This Row],[Remain. Life]]=0,Reserve_Analysis[[#This Row],[Amount to Fund Replac. ]]=0),0)))))))</f>
        <v>0</v>
      </c>
    </row>
    <row r="24" spans="1:12" ht="13.8" x14ac:dyDescent="0.3">
      <c r="A24" s="84"/>
      <c r="B24" s="57"/>
      <c r="C24" s="71"/>
      <c r="D24" s="81">
        <f>IFERROR(Reserve_Analysis[[#This Row],[Useful Life]]-Reserve_Analysis[[#This Row],[Yrs. in Use]],"")</f>
        <v>0</v>
      </c>
      <c r="E24" s="57"/>
      <c r="F24" s="70" t="str">
        <f>IFERROR(Reserve_Analysis[[#This Row],[Replac. Cost]]/Reserve_Analysis[[#This Row],[Useful Life]],"")</f>
        <v/>
      </c>
      <c r="G24" s="59" t="str">
        <f>IFERROR(Reserve_Analysis[[#This Row],[Yrs. in Use]]*Reserve_Analysis[[#This Row],[Annual  Payment Amount]],"")</f>
        <v/>
      </c>
      <c r="H24" s="69"/>
      <c r="I24" s="82" t="str">
        <f>IFERROR(Reserve_Analysis[[#This Row],[Actual Reserves ]]-Reserve_Analysis[[#This Row],[Required Reserves]],"")</f>
        <v/>
      </c>
      <c r="J24" s="85" t="str">
        <f>IFERROR(Reserve_Analysis[[#This Row],[Actual Reserves ]]/Reserve_Analysis[[#This Row],[Required Reserves]],"")</f>
        <v/>
      </c>
      <c r="K24" s="82">
        <f>IF(Reserve_Analysis[[#This Row],[Actual Reserves ]]&gt;= Reserve_Analysis[[#This Row],[Replac. Cost]],0,Reserve_Analysis[[#This Row],[Replac. Cost]]-Reserve_Analysis[[#This Row],[Actual Reserves ]])</f>
        <v>0</v>
      </c>
      <c r="L24" s="82">
        <f>IF(AND(Reserve_Analysis[[#This Row],[Remain. Life]]=0,Reserve_Analysis[[#This Row],[Amount to Fund Replac. ]]&gt;0),Reserve_Analysis[[#This Row],[Amount to Fund Replac. ]]/5,(IF(AND(Reserve_Analysis[[#This Row],[Remain. Life]]&gt;0,Reserve_Analysis[[#This Row],[Amount to Fund Replac. ]]&gt;0),Reserve_Analysis[[#This Row],[Amount to Fund Replac. ]]/Reserve_Analysis[[#This Row],[Remain. Life]],(IF(AND(Reserve_Analysis[[#This Row],[Remain. Life]]&gt;0,Reserve_Analysis[[#This Row],[Amount to Fund Replac. ]]=0),0,(IF(AND(Reserve_Analysis[[#This Row],[Remain. Life]]=0,Reserve_Analysis[[#This Row],[Amount to Fund Replac. ]]=0),0)))))))</f>
        <v>0</v>
      </c>
    </row>
    <row r="25" spans="1:12" ht="13.8" x14ac:dyDescent="0.3">
      <c r="A25" s="84"/>
      <c r="B25" s="57"/>
      <c r="C25" s="71"/>
      <c r="D25" s="81">
        <f>IFERROR(Reserve_Analysis[[#This Row],[Useful Life]]-Reserve_Analysis[[#This Row],[Yrs. in Use]],"")</f>
        <v>0</v>
      </c>
      <c r="E25" s="57"/>
      <c r="F25" s="70" t="str">
        <f>IFERROR(Reserve_Analysis[[#This Row],[Replac. Cost]]/Reserve_Analysis[[#This Row],[Useful Life]],"")</f>
        <v/>
      </c>
      <c r="G25" s="59" t="str">
        <f>IFERROR(Reserve_Analysis[[#This Row],[Yrs. in Use]]*Reserve_Analysis[[#This Row],[Annual  Payment Amount]],"")</f>
        <v/>
      </c>
      <c r="H25" s="69"/>
      <c r="I25" s="82" t="str">
        <f>IFERROR(Reserve_Analysis[[#This Row],[Actual Reserves ]]-Reserve_Analysis[[#This Row],[Required Reserves]],"")</f>
        <v/>
      </c>
      <c r="J25" s="85" t="str">
        <f>IFERROR(Reserve_Analysis[[#This Row],[Actual Reserves ]]/Reserve_Analysis[[#This Row],[Required Reserves]],"")</f>
        <v/>
      </c>
      <c r="K25" s="82">
        <f>IF(Reserve_Analysis[[#This Row],[Actual Reserves ]]&gt;= Reserve_Analysis[[#This Row],[Replac. Cost]],0,Reserve_Analysis[[#This Row],[Replac. Cost]]-Reserve_Analysis[[#This Row],[Actual Reserves ]])</f>
        <v>0</v>
      </c>
      <c r="L25" s="82">
        <f>IF(AND(Reserve_Analysis[[#This Row],[Remain. Life]]=0,Reserve_Analysis[[#This Row],[Amount to Fund Replac. ]]&gt;0),Reserve_Analysis[[#This Row],[Amount to Fund Replac. ]]/5,(IF(AND(Reserve_Analysis[[#This Row],[Remain. Life]]&gt;0,Reserve_Analysis[[#This Row],[Amount to Fund Replac. ]]&gt;0),Reserve_Analysis[[#This Row],[Amount to Fund Replac. ]]/Reserve_Analysis[[#This Row],[Remain. Life]],(IF(AND(Reserve_Analysis[[#This Row],[Remain. Life]]&gt;0,Reserve_Analysis[[#This Row],[Amount to Fund Replac. ]]=0),0,(IF(AND(Reserve_Analysis[[#This Row],[Remain. Life]]=0,Reserve_Analysis[[#This Row],[Amount to Fund Replac. ]]=0),0)))))))</f>
        <v>0</v>
      </c>
    </row>
    <row r="26" spans="1:12" ht="13.8" x14ac:dyDescent="0.3">
      <c r="A26" s="84"/>
      <c r="B26" s="57"/>
      <c r="C26" s="57"/>
      <c r="D26" s="81">
        <f>IFERROR(Reserve_Analysis[[#This Row],[Useful Life]]-Reserve_Analysis[[#This Row],[Yrs. in Use]],"")</f>
        <v>0</v>
      </c>
      <c r="E26" s="57"/>
      <c r="F26" s="59" t="str">
        <f>IFERROR(Reserve_Analysis[[#This Row],[Replac. Cost]]/Reserve_Analysis[[#This Row],[Useful Life]],"")</f>
        <v/>
      </c>
      <c r="G26" s="59" t="str">
        <f>IFERROR(Reserve_Analysis[[#This Row],[Yrs. in Use]]*Reserve_Analysis[[#This Row],[Annual  Payment Amount]],"")</f>
        <v/>
      </c>
      <c r="H26" s="60"/>
      <c r="I26" s="82" t="str">
        <f>IFERROR(Reserve_Analysis[[#This Row],[Actual Reserves ]]-Reserve_Analysis[[#This Row],[Required Reserves]],"")</f>
        <v/>
      </c>
      <c r="J26" s="83" t="str">
        <f>IFERROR(Reserve_Analysis[[#This Row],[Actual Reserves ]]/Reserve_Analysis[[#This Row],[Required Reserves]],"")</f>
        <v/>
      </c>
      <c r="K26" s="82">
        <f>IF(Reserve_Analysis[[#This Row],[Actual Reserves ]]&gt;= Reserve_Analysis[[#This Row],[Replac. Cost]],0,Reserve_Analysis[[#This Row],[Replac. Cost]]-Reserve_Analysis[[#This Row],[Actual Reserves ]])</f>
        <v>0</v>
      </c>
      <c r="L26" s="82">
        <f>IF(AND(Reserve_Analysis[[#This Row],[Remain. Life]]=0,Reserve_Analysis[[#This Row],[Amount to Fund Replac. ]]&gt;0),Reserve_Analysis[[#This Row],[Amount to Fund Replac. ]]/5,(IF(AND(Reserve_Analysis[[#This Row],[Remain. Life]]&gt;0,Reserve_Analysis[[#This Row],[Amount to Fund Replac. ]]&gt;0),Reserve_Analysis[[#This Row],[Amount to Fund Replac. ]]/Reserve_Analysis[[#This Row],[Remain. Life]],(IF(AND(Reserve_Analysis[[#This Row],[Remain. Life]]&gt;0,Reserve_Analysis[[#This Row],[Amount to Fund Replac. ]]=0),0,(IF(AND(Reserve_Analysis[[#This Row],[Remain. Life]]=0,Reserve_Analysis[[#This Row],[Amount to Fund Replac. ]]=0),0)))))))</f>
        <v>0</v>
      </c>
    </row>
    <row r="27" spans="1:12" ht="13.8" x14ac:dyDescent="0.3">
      <c r="A27" s="66"/>
      <c r="B27" s="63"/>
      <c r="C27" s="63"/>
      <c r="D27" s="86" t="s">
        <v>15</v>
      </c>
      <c r="E27" s="64">
        <f>SUBTOTAL(109,Reserve_Analysis[Replac. Cost])</f>
        <v>0</v>
      </c>
      <c r="F27" s="65">
        <f>SUBTOTAL(109,Reserve_Analysis[Annual  Payment Amount])</f>
        <v>0</v>
      </c>
      <c r="G27" s="65">
        <f>SUBTOTAL(109,Reserve_Analysis[Required Reserves])</f>
        <v>0</v>
      </c>
      <c r="H27" s="87">
        <f>SUBTOTAL(109,Reserve_Analysis[[Actual Reserves ]])</f>
        <v>0</v>
      </c>
      <c r="I27" s="87">
        <f>SUBTOTAL(109,Reserve_Analysis[Adequate / (Shortage)])</f>
        <v>0</v>
      </c>
      <c r="J27" s="88" t="str">
        <f>IF(ISERROR(Reserve_Analysis[[#Totals],[Actual Reserves ]]/Reserve_Analysis[[#Totals],[Required Reserves]]),"",H27/G27)</f>
        <v/>
      </c>
      <c r="K27" s="87">
        <f>SUBTOTAL(109,Reserve_Analysis[Amount to Fund Replac. ])</f>
        <v>0</v>
      </c>
      <c r="L27" s="87">
        <f>SUBTOTAL(109,Reserve_Analysis[Annual Replac. Cost])</f>
        <v>0</v>
      </c>
    </row>
    <row r="28" spans="1:12" ht="13.8" x14ac:dyDescent="0.3">
      <c r="A28" s="66"/>
      <c r="B28" s="49"/>
      <c r="C28" s="44"/>
      <c r="D28" s="44"/>
      <c r="E28" s="44"/>
      <c r="F28" s="41"/>
      <c r="G28" s="45"/>
      <c r="H28" s="49"/>
      <c r="I28" s="49"/>
      <c r="J28" s="41"/>
      <c r="K28" s="41"/>
      <c r="L28" s="41"/>
    </row>
    <row r="29" spans="1:12" ht="12.75" customHeight="1" x14ac:dyDescent="0.25">
      <c r="A29" s="257" t="s">
        <v>50</v>
      </c>
      <c r="B29" s="257"/>
      <c r="C29" s="257"/>
      <c r="D29" s="257"/>
      <c r="E29" s="257"/>
      <c r="F29" s="257"/>
      <c r="G29" s="257"/>
      <c r="H29" s="257"/>
      <c r="I29" s="257"/>
      <c r="J29" s="257"/>
      <c r="K29" s="257"/>
      <c r="L29" s="257"/>
    </row>
    <row r="30" spans="1:12" ht="12.75" customHeight="1" x14ac:dyDescent="0.25">
      <c r="A30" s="257"/>
      <c r="B30" s="257"/>
      <c r="C30" s="257"/>
      <c r="D30" s="257"/>
      <c r="E30" s="257"/>
      <c r="F30" s="257"/>
      <c r="G30" s="257"/>
      <c r="H30" s="257"/>
      <c r="I30" s="257"/>
      <c r="J30" s="257"/>
      <c r="K30" s="257"/>
      <c r="L30" s="257"/>
    </row>
    <row r="31" spans="1:12" ht="12.75" customHeight="1" x14ac:dyDescent="0.25">
      <c r="A31" s="257"/>
      <c r="B31" s="257"/>
      <c r="C31" s="257"/>
      <c r="D31" s="257"/>
      <c r="E31" s="257"/>
      <c r="F31" s="257"/>
      <c r="G31" s="257"/>
      <c r="H31" s="257"/>
      <c r="I31" s="257"/>
      <c r="J31" s="257"/>
      <c r="K31" s="257"/>
      <c r="L31" s="257"/>
    </row>
    <row r="32" spans="1:12" ht="12.75" customHeight="1" x14ac:dyDescent="0.25">
      <c r="A32" s="257"/>
      <c r="B32" s="257"/>
      <c r="C32" s="257"/>
      <c r="D32" s="257"/>
      <c r="E32" s="257"/>
      <c r="F32" s="257"/>
      <c r="G32" s="257"/>
      <c r="H32" s="257"/>
      <c r="I32" s="257"/>
      <c r="J32" s="257"/>
      <c r="K32" s="257"/>
      <c r="L32" s="257"/>
    </row>
    <row r="33" spans="1:12" ht="16.5" customHeight="1" x14ac:dyDescent="0.25">
      <c r="A33" s="257"/>
      <c r="B33" s="257"/>
      <c r="C33" s="257"/>
      <c r="D33" s="257"/>
      <c r="E33" s="257"/>
      <c r="F33" s="257"/>
      <c r="G33" s="257"/>
      <c r="H33" s="257"/>
      <c r="I33" s="257"/>
      <c r="J33" s="257"/>
      <c r="K33" s="257"/>
      <c r="L33" s="257"/>
    </row>
    <row r="34" spans="1:12" ht="12.75" customHeight="1" x14ac:dyDescent="0.25">
      <c r="A34" s="67"/>
      <c r="B34" s="67"/>
      <c r="C34" s="67"/>
      <c r="D34" s="67"/>
      <c r="E34" s="67"/>
      <c r="F34" s="67"/>
      <c r="G34" s="67"/>
      <c r="H34" s="67"/>
      <c r="I34" s="67"/>
      <c r="J34" s="67"/>
      <c r="K34" s="67"/>
      <c r="L34" s="67"/>
    </row>
    <row r="35" spans="1:12" ht="12.75" customHeight="1" x14ac:dyDescent="0.25">
      <c r="A35" s="257" t="s">
        <v>51</v>
      </c>
      <c r="B35" s="257"/>
      <c r="C35" s="257"/>
      <c r="D35" s="257"/>
      <c r="E35" s="257"/>
      <c r="F35" s="257"/>
      <c r="G35" s="257"/>
      <c r="H35" s="257"/>
      <c r="I35" s="257"/>
      <c r="J35" s="257"/>
      <c r="K35" s="257"/>
      <c r="L35" s="257"/>
    </row>
    <row r="36" spans="1:12" ht="12.75" customHeight="1" x14ac:dyDescent="0.25">
      <c r="A36" s="257"/>
      <c r="B36" s="257"/>
      <c r="C36" s="257"/>
      <c r="D36" s="257"/>
      <c r="E36" s="257"/>
      <c r="F36" s="257"/>
      <c r="G36" s="257"/>
      <c r="H36" s="257"/>
      <c r="I36" s="257"/>
      <c r="J36" s="257"/>
      <c r="K36" s="257"/>
      <c r="L36" s="257"/>
    </row>
    <row r="37" spans="1:12" ht="12.75" customHeight="1" x14ac:dyDescent="0.25">
      <c r="A37" s="257"/>
      <c r="B37" s="257"/>
      <c r="C37" s="257"/>
      <c r="D37" s="257"/>
      <c r="E37" s="257"/>
      <c r="F37" s="257"/>
      <c r="G37" s="257"/>
      <c r="H37" s="257"/>
      <c r="I37" s="257"/>
      <c r="J37" s="257"/>
      <c r="K37" s="257"/>
      <c r="L37" s="257"/>
    </row>
    <row r="38" spans="1:12" ht="13.2" customHeight="1" x14ac:dyDescent="0.25">
      <c r="A38" s="257"/>
      <c r="B38" s="257"/>
      <c r="C38" s="257"/>
      <c r="D38" s="257"/>
      <c r="E38" s="257"/>
      <c r="F38" s="257"/>
      <c r="G38" s="257"/>
      <c r="H38" s="257"/>
      <c r="I38" s="257"/>
      <c r="J38" s="257"/>
      <c r="K38" s="257"/>
      <c r="L38" s="257"/>
    </row>
    <row r="39" spans="1:12" x14ac:dyDescent="0.25">
      <c r="A39" s="257"/>
      <c r="B39" s="257"/>
      <c r="C39" s="257"/>
      <c r="D39" s="257"/>
      <c r="E39" s="257"/>
      <c r="F39" s="257"/>
      <c r="G39" s="257"/>
      <c r="H39" s="257"/>
      <c r="I39" s="257"/>
      <c r="J39" s="257"/>
      <c r="K39" s="257"/>
      <c r="L39" s="257"/>
    </row>
  </sheetData>
  <sheetProtection algorithmName="SHA-512" hashValue="yF4RVnmZitfd5KZ1gZrfz6WIrhkjBuqxNz9p9ZHhFhoN01u7gaB+4JYG1of4CFaysk/0AlHePoZE0qiSG8c4LQ==" saltValue="6CZZaqsRFQcH5HbR/FEfQQ==" spinCount="100000" sheet="1" objects="1" scenarios="1" selectLockedCells="1"/>
  <mergeCells count="8">
    <mergeCell ref="A29:L33"/>
    <mergeCell ref="A35:L39"/>
    <mergeCell ref="B1:E1"/>
    <mergeCell ref="I1:J1"/>
    <mergeCell ref="H2:I2"/>
    <mergeCell ref="A3:C3"/>
    <mergeCell ref="F3:I3"/>
    <mergeCell ref="B4:F4"/>
  </mergeCells>
  <pageMargins left="0.25" right="0.25" top="0.75" bottom="0.75" header="0.3" footer="0.3"/>
  <pageSetup scale="86" orientation="landscape" r:id="rId1"/>
  <headerFooter>
    <oddHeader>&amp;C&amp;"Arial,Bold"&amp;14Reserve Items Analysis&amp;KFF0000*&amp;"Arial,Regular"&amp;10&amp;K000000
Version: 1.10</oddHeader>
  </headerFooter>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2"/>
  <sheetViews>
    <sheetView view="pageLayout" zoomScaleNormal="91" workbookViewId="0">
      <selection activeCell="H37" sqref="H37"/>
    </sheetView>
  </sheetViews>
  <sheetFormatPr defaultColWidth="8.88671875" defaultRowHeight="13.2" x14ac:dyDescent="0.25"/>
  <cols>
    <col min="1" max="1" width="23.33203125" style="42" customWidth="1"/>
    <col min="2" max="2" width="7.5546875" style="42" customWidth="1"/>
    <col min="3" max="3" width="7.44140625" style="42" customWidth="1"/>
    <col min="4" max="4" width="9.109375" style="42" customWidth="1"/>
    <col min="5" max="5" width="15.88671875" style="42" customWidth="1"/>
    <col min="6" max="6" width="13.6640625" style="42" customWidth="1"/>
    <col min="7" max="7" width="14" style="42" customWidth="1"/>
    <col min="8" max="9" width="13" style="42" customWidth="1"/>
    <col min="10" max="10" width="11.33203125" style="42" customWidth="1"/>
    <col min="11" max="11" width="14.6640625" style="42" customWidth="1"/>
    <col min="12" max="12" width="15.33203125" style="42" customWidth="1"/>
    <col min="13" max="13" width="8.88671875" style="42"/>
    <col min="14" max="14" width="0" style="42" hidden="1" customWidth="1"/>
    <col min="15" max="16384" width="8.88671875" style="42"/>
  </cols>
  <sheetData>
    <row r="1" spans="1:12" ht="16.2" x14ac:dyDescent="0.35">
      <c r="A1" s="123" t="s">
        <v>8</v>
      </c>
      <c r="B1" s="263" t="s">
        <v>52</v>
      </c>
      <c r="C1" s="263"/>
      <c r="D1" s="263"/>
      <c r="E1" s="263"/>
      <c r="F1" s="38" t="s">
        <v>9</v>
      </c>
      <c r="G1" s="180" t="s">
        <v>46</v>
      </c>
      <c r="H1" s="123"/>
      <c r="I1" s="259" t="s">
        <v>4</v>
      </c>
      <c r="J1" s="259"/>
      <c r="K1" s="181">
        <v>42004</v>
      </c>
      <c r="L1" s="41"/>
    </row>
    <row r="2" spans="1:12" ht="16.2" x14ac:dyDescent="0.35">
      <c r="A2" s="123" t="s">
        <v>10</v>
      </c>
      <c r="B2" s="182">
        <v>64</v>
      </c>
      <c r="C2" s="75"/>
      <c r="D2" s="75"/>
      <c r="E2" s="75"/>
      <c r="F2" s="74"/>
      <c r="G2" s="76"/>
      <c r="H2" s="259" t="s">
        <v>11</v>
      </c>
      <c r="I2" s="260"/>
      <c r="J2" s="183">
        <v>42185</v>
      </c>
      <c r="K2" s="74"/>
      <c r="L2" s="41"/>
    </row>
    <row r="3" spans="1:12" ht="13.8" x14ac:dyDescent="0.3">
      <c r="A3" s="261" t="s">
        <v>31</v>
      </c>
      <c r="B3" s="261"/>
      <c r="C3" s="261"/>
      <c r="D3" s="47">
        <f>IF(ISERROR(Reserve_Analysis3[[#Totals],[Annual  Payment Amount]]/12/$B$2),"",Reserve_Analysis3[[#Totals],[Annual  Payment Amount]]/12/$B$2)</f>
        <v>71.816948784722214</v>
      </c>
      <c r="E3" s="77"/>
      <c r="F3" s="261" t="s">
        <v>32</v>
      </c>
      <c r="G3" s="261"/>
      <c r="H3" s="261"/>
      <c r="I3" s="261"/>
      <c r="J3" s="47">
        <f>IF(ISERROR(Reserve_Analysis3[[#Totals],[Annual Replac. Cost]]/12/$B$2),"",Reserve_Analysis3[[#Totals],[Annual Replac. Cost]]/12/$B$2)</f>
        <v>95.717296006944437</v>
      </c>
      <c r="K3" s="74"/>
      <c r="L3" s="41"/>
    </row>
    <row r="4" spans="1:12" ht="13.8" x14ac:dyDescent="0.3">
      <c r="A4" s="48"/>
      <c r="B4" s="264"/>
      <c r="C4" s="264"/>
      <c r="D4" s="264"/>
      <c r="E4" s="264"/>
      <c r="F4" s="264"/>
      <c r="G4" s="45"/>
      <c r="H4" s="49"/>
      <c r="I4" s="49"/>
      <c r="J4" s="41"/>
      <c r="K4" s="50"/>
      <c r="L4" s="51"/>
    </row>
    <row r="5" spans="1:12" ht="41.4" x14ac:dyDescent="0.3">
      <c r="A5" s="184" t="s">
        <v>33</v>
      </c>
      <c r="B5" s="185" t="s">
        <v>12</v>
      </c>
      <c r="C5" s="186" t="s">
        <v>34</v>
      </c>
      <c r="D5" s="186" t="s">
        <v>35</v>
      </c>
      <c r="E5" s="186" t="s">
        <v>13</v>
      </c>
      <c r="F5" s="186" t="s">
        <v>36</v>
      </c>
      <c r="G5" s="186" t="s">
        <v>37</v>
      </c>
      <c r="H5" s="185" t="s">
        <v>38</v>
      </c>
      <c r="I5" s="186" t="s">
        <v>39</v>
      </c>
      <c r="J5" s="186" t="s">
        <v>14</v>
      </c>
      <c r="K5" s="185" t="s">
        <v>40</v>
      </c>
      <c r="L5" s="187" t="s">
        <v>41</v>
      </c>
    </row>
    <row r="6" spans="1:12" ht="13.8" x14ac:dyDescent="0.3">
      <c r="A6" s="56" t="s">
        <v>42</v>
      </c>
      <c r="B6" s="81">
        <v>5</v>
      </c>
      <c r="C6" s="81">
        <v>5</v>
      </c>
      <c r="D6" s="58">
        <f>IFERROR(Reserve_Analysis3[[#This Row],[Useful Life]]-Reserve_Analysis3[[#This Row],[Yrs. in Use]],"")</f>
        <v>0</v>
      </c>
      <c r="E6" s="81">
        <v>10000</v>
      </c>
      <c r="F6" s="59">
        <f>IFERROR(Reserve_Analysis3[[#This Row],[Replac. Cost]]/Reserve_Analysis3[[#This Row],[Useful Life]],"")</f>
        <v>2000</v>
      </c>
      <c r="G6" s="59">
        <f>IFERROR(Reserve_Analysis3[[#This Row],[Yrs. in Use]]*Reserve_Analysis3[[#This Row],[Annual  Payment Amount]],"")</f>
        <v>10000</v>
      </c>
      <c r="H6" s="82">
        <v>10000</v>
      </c>
      <c r="I6" s="61">
        <f>IFERROR(Reserve_Analysis3[[#This Row],[Actual Reserves ]]-Reserve_Analysis3[[#This Row],[Required Reserves]],"")</f>
        <v>0</v>
      </c>
      <c r="J6" s="62">
        <f>IFERROR(Reserve_Analysis3[[#This Row],[Actual Reserves ]]/Reserve_Analysis3[[#This Row],[Required Reserves]],"")</f>
        <v>1</v>
      </c>
      <c r="K6" s="59">
        <f>IF(Reserve_Analysis3[[#This Row],[Actual Reserves ]]&gt;= Reserve_Analysis3[[#This Row],[Replac. Cost]],0,Reserve_Analysis3[[#This Row],[Replac. Cost]]-Reserve_Analysis3[[#This Row],[Actual Reserves ]])</f>
        <v>0</v>
      </c>
      <c r="L6" s="18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0</v>
      </c>
    </row>
    <row r="7" spans="1:12" ht="13.8" x14ac:dyDescent="0.3">
      <c r="A7" s="56" t="s">
        <v>45</v>
      </c>
      <c r="B7" s="81">
        <v>20</v>
      </c>
      <c r="C7" s="81">
        <v>17</v>
      </c>
      <c r="D7" s="58">
        <f>IFERROR(Reserve_Analysis3[[#This Row],[Useful Life]]-Reserve_Analysis3[[#This Row],[Yrs. in Use]],"")</f>
        <v>3</v>
      </c>
      <c r="E7" s="81">
        <v>350000</v>
      </c>
      <c r="F7" s="59">
        <f>IFERROR(Reserve_Analysis3[[#This Row],[Replac. Cost]]/Reserve_Analysis3[[#This Row],[Useful Life]],"")</f>
        <v>17500</v>
      </c>
      <c r="G7" s="59">
        <f>IFERROR(Reserve_Analysis3[[#This Row],[Yrs. in Use]]*Reserve_Analysis3[[#This Row],[Annual  Payment Amount]],"")</f>
        <v>297500</v>
      </c>
      <c r="H7" s="82">
        <v>265456</v>
      </c>
      <c r="I7" s="61">
        <f>IFERROR(Reserve_Analysis3[[#This Row],[Actual Reserves ]]-Reserve_Analysis3[[#This Row],[Required Reserves]],"")</f>
        <v>-32044</v>
      </c>
      <c r="J7" s="62">
        <f>IFERROR(Reserve_Analysis3[[#This Row],[Actual Reserves ]]/Reserve_Analysis3[[#This Row],[Required Reserves]],"")</f>
        <v>0.89228907563025206</v>
      </c>
      <c r="K7" s="59">
        <f>IF(Reserve_Analysis3[[#This Row],[Actual Reserves ]]&gt;= Reserve_Analysis3[[#This Row],[Replac. Cost]],0,Reserve_Analysis3[[#This Row],[Replac. Cost]]-Reserve_Analysis3[[#This Row],[Actual Reserves ]])</f>
        <v>84544</v>
      </c>
      <c r="L7" s="18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28181.333333333332</v>
      </c>
    </row>
    <row r="8" spans="1:12" ht="13.8" x14ac:dyDescent="0.3">
      <c r="A8" s="56" t="s">
        <v>44</v>
      </c>
      <c r="B8" s="81">
        <v>10</v>
      </c>
      <c r="C8" s="81">
        <v>5</v>
      </c>
      <c r="D8" s="58">
        <f>IFERROR(Reserve_Analysis3[[#This Row],[Useful Life]]-Reserve_Analysis3[[#This Row],[Yrs. in Use]],"")</f>
        <v>5</v>
      </c>
      <c r="E8" s="81">
        <v>180000</v>
      </c>
      <c r="F8" s="59">
        <f>IFERROR(Reserve_Analysis3[[#This Row],[Replac. Cost]]/Reserve_Analysis3[[#This Row],[Useful Life]],"")</f>
        <v>18000</v>
      </c>
      <c r="G8" s="59">
        <f>IFERROR(Reserve_Analysis3[[#This Row],[Yrs. in Use]]*Reserve_Analysis3[[#This Row],[Annual  Payment Amount]],"")</f>
        <v>90000</v>
      </c>
      <c r="H8" s="82">
        <v>67894</v>
      </c>
      <c r="I8" s="61">
        <f>IFERROR(Reserve_Analysis3[[#This Row],[Actual Reserves ]]-Reserve_Analysis3[[#This Row],[Required Reserves]],"")</f>
        <v>-22106</v>
      </c>
      <c r="J8" s="62">
        <f>IFERROR(Reserve_Analysis3[[#This Row],[Actual Reserves ]]/Reserve_Analysis3[[#This Row],[Required Reserves]],"")</f>
        <v>0.75437777777777781</v>
      </c>
      <c r="K8" s="59">
        <f>IF(Reserve_Analysis3[[#This Row],[Actual Reserves ]]&gt;= Reserve_Analysis3[[#This Row],[Replac. Cost]],0,Reserve_Analysis3[[#This Row],[Replac. Cost]]-Reserve_Analysis3[[#This Row],[Actual Reserves ]])</f>
        <v>112106</v>
      </c>
      <c r="L8" s="18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22421.200000000001</v>
      </c>
    </row>
    <row r="9" spans="1:12" ht="16.2" x14ac:dyDescent="0.35">
      <c r="A9" s="189" t="s">
        <v>53</v>
      </c>
      <c r="B9" s="81">
        <v>8</v>
      </c>
      <c r="C9" s="81">
        <v>4</v>
      </c>
      <c r="D9" s="58">
        <f>IFERROR(Reserve_Analysis3[[#This Row],[Useful Life]]-Reserve_Analysis3[[#This Row],[Yrs. in Use]],"")</f>
        <v>4</v>
      </c>
      <c r="E9" s="81">
        <v>69870</v>
      </c>
      <c r="F9" s="59">
        <f>IFERROR(Reserve_Analysis3[[#This Row],[Replac. Cost]]/Reserve_Analysis3[[#This Row],[Useful Life]],"")</f>
        <v>8733.75</v>
      </c>
      <c r="G9" s="59">
        <f>IFERROR(Reserve_Analysis3[[#This Row],[Yrs. in Use]]*Reserve_Analysis3[[#This Row],[Annual  Payment Amount]],"")</f>
        <v>34935</v>
      </c>
      <c r="H9" s="82">
        <v>33995</v>
      </c>
      <c r="I9" s="61">
        <f>IFERROR(Reserve_Analysis3[[#This Row],[Actual Reserves ]]-Reserve_Analysis3[[#This Row],[Required Reserves]],"")</f>
        <v>-940</v>
      </c>
      <c r="J9" s="62">
        <f>IFERROR(Reserve_Analysis3[[#This Row],[Actual Reserves ]]/Reserve_Analysis3[[#This Row],[Required Reserves]],"")</f>
        <v>0.97309288678975236</v>
      </c>
      <c r="K9" s="59">
        <f>IF(Reserve_Analysis3[[#This Row],[Actual Reserves ]]&gt;= Reserve_Analysis3[[#This Row],[Replac. Cost]],0,Reserve_Analysis3[[#This Row],[Replac. Cost]]-Reserve_Analysis3[[#This Row],[Actual Reserves ]])</f>
        <v>35875</v>
      </c>
      <c r="L9" s="18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8968.75</v>
      </c>
    </row>
    <row r="10" spans="1:12" ht="16.2" x14ac:dyDescent="0.35">
      <c r="A10" s="189" t="s">
        <v>54</v>
      </c>
      <c r="B10" s="81">
        <v>10</v>
      </c>
      <c r="C10" s="81">
        <v>5</v>
      </c>
      <c r="D10" s="58">
        <f>IFERROR(Reserve_Analysis3[[#This Row],[Useful Life]]-Reserve_Analysis3[[#This Row],[Yrs. in Use]],"")</f>
        <v>5</v>
      </c>
      <c r="E10" s="81">
        <v>45000</v>
      </c>
      <c r="F10" s="59">
        <f>IFERROR(Reserve_Analysis3[[#This Row],[Replac. Cost]]/Reserve_Analysis3[[#This Row],[Useful Life]],"")</f>
        <v>4500</v>
      </c>
      <c r="G10" s="59">
        <f>IFERROR(Reserve_Analysis3[[#This Row],[Yrs. in Use]]*Reserve_Analysis3[[#This Row],[Annual  Payment Amount]],"")</f>
        <v>22500</v>
      </c>
      <c r="H10" s="82">
        <v>21687</v>
      </c>
      <c r="I10" s="61">
        <f>IFERROR(Reserve_Analysis3[[#This Row],[Actual Reserves ]]-Reserve_Analysis3[[#This Row],[Required Reserves]],"")</f>
        <v>-813</v>
      </c>
      <c r="J10" s="62">
        <f>IFERROR(Reserve_Analysis3[[#This Row],[Actual Reserves ]]/Reserve_Analysis3[[#This Row],[Required Reserves]],"")</f>
        <v>0.96386666666666665</v>
      </c>
      <c r="K10" s="59">
        <f>IF(Reserve_Analysis3[[#This Row],[Actual Reserves ]]&gt;= Reserve_Analysis3[[#This Row],[Replac. Cost]],0,Reserve_Analysis3[[#This Row],[Replac. Cost]]-Reserve_Analysis3[[#This Row],[Actual Reserves ]])</f>
        <v>23313</v>
      </c>
      <c r="L10" s="18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4662.6000000000004</v>
      </c>
    </row>
    <row r="11" spans="1:12" ht="16.2" x14ac:dyDescent="0.35">
      <c r="A11" s="189" t="s">
        <v>55</v>
      </c>
      <c r="B11" s="81">
        <v>30</v>
      </c>
      <c r="C11" s="81">
        <v>15</v>
      </c>
      <c r="D11" s="58">
        <f>IFERROR(Reserve_Analysis3[[#This Row],[Useful Life]]-Reserve_Analysis3[[#This Row],[Yrs. in Use]],"")</f>
        <v>15</v>
      </c>
      <c r="E11" s="81">
        <v>62150</v>
      </c>
      <c r="F11" s="59">
        <f>IFERROR(Reserve_Analysis3[[#This Row],[Replac. Cost]]/Reserve_Analysis3[[#This Row],[Useful Life]],"")</f>
        <v>2071.6666666666665</v>
      </c>
      <c r="G11" s="59">
        <f>IFERROR(Reserve_Analysis3[[#This Row],[Yrs. in Use]]*Reserve_Analysis3[[#This Row],[Annual  Payment Amount]],"")</f>
        <v>31074.999999999996</v>
      </c>
      <c r="H11" s="82">
        <v>28745</v>
      </c>
      <c r="I11" s="61">
        <f>IFERROR(Reserve_Analysis3[[#This Row],[Actual Reserves ]]-Reserve_Analysis3[[#This Row],[Required Reserves]],"")</f>
        <v>-2329.9999999999964</v>
      </c>
      <c r="J11" s="62">
        <f>IFERROR(Reserve_Analysis3[[#This Row],[Actual Reserves ]]/Reserve_Analysis3[[#This Row],[Required Reserves]],"")</f>
        <v>0.92502011263073225</v>
      </c>
      <c r="K11" s="59">
        <f>IF(Reserve_Analysis3[[#This Row],[Actual Reserves ]]&gt;= Reserve_Analysis3[[#This Row],[Replac. Cost]],0,Reserve_Analysis3[[#This Row],[Replac. Cost]]-Reserve_Analysis3[[#This Row],[Actual Reserves ]])</f>
        <v>33405</v>
      </c>
      <c r="L11" s="18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2227</v>
      </c>
    </row>
    <row r="12" spans="1:12" ht="16.2" x14ac:dyDescent="0.35">
      <c r="A12" s="189" t="s">
        <v>56</v>
      </c>
      <c r="B12" s="81">
        <v>15</v>
      </c>
      <c r="C12" s="190">
        <v>15</v>
      </c>
      <c r="D12" s="58">
        <f>IFERROR(Reserve_Analysis3[[#This Row],[Useful Life]]-Reserve_Analysis3[[#This Row],[Yrs. in Use]],"")</f>
        <v>0</v>
      </c>
      <c r="E12" s="81">
        <v>35250</v>
      </c>
      <c r="F12" s="70">
        <f>IFERROR(Reserve_Analysis3[[#This Row],[Replac. Cost]]/Reserve_Analysis3[[#This Row],[Useful Life]],"")</f>
        <v>2350</v>
      </c>
      <c r="G12" s="59">
        <f>IFERROR(Reserve_Analysis3[[#This Row],[Yrs. in Use]]*Reserve_Analysis3[[#This Row],[Annual  Payment Amount]],"")</f>
        <v>35250</v>
      </c>
      <c r="H12" s="179">
        <v>0</v>
      </c>
      <c r="I12" s="61">
        <f>IFERROR(Reserve_Analysis3[[#This Row],[Actual Reserves ]]-Reserve_Analysis3[[#This Row],[Required Reserves]],"")</f>
        <v>-35250</v>
      </c>
      <c r="J12" s="68">
        <f>IFERROR(Reserve_Analysis3[[#This Row],[Actual Reserves ]]/Reserve_Analysis3[[#This Row],[Required Reserves]],"")</f>
        <v>0</v>
      </c>
      <c r="K12" s="59">
        <f>IF(Reserve_Analysis3[[#This Row],[Actual Reserves ]]&gt;= Reserve_Analysis3[[#This Row],[Replac. Cost]],0,Reserve_Analysis3[[#This Row],[Replac. Cost]]-Reserve_Analysis3[[#This Row],[Actual Reserves ]])</f>
        <v>35250</v>
      </c>
      <c r="L12" s="18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7050</v>
      </c>
    </row>
    <row r="13" spans="1:12" ht="16.2" x14ac:dyDescent="0.35">
      <c r="A13" s="189"/>
      <c r="B13" s="81"/>
      <c r="C13" s="190"/>
      <c r="D13" s="58">
        <f>IFERROR(Reserve_Analysis3[[#This Row],[Useful Life]]-Reserve_Analysis3[[#This Row],[Yrs. in Use]],"")</f>
        <v>0</v>
      </c>
      <c r="E13" s="81"/>
      <c r="F13" s="70" t="str">
        <f>IFERROR(Reserve_Analysis3[[#This Row],[Replac. Cost]]/Reserve_Analysis3[[#This Row],[Useful Life]],"")</f>
        <v/>
      </c>
      <c r="G13" s="59" t="str">
        <f>IFERROR(Reserve_Analysis3[[#This Row],[Yrs. in Use]]*Reserve_Analysis3[[#This Row],[Annual  Payment Amount]],"")</f>
        <v/>
      </c>
      <c r="H13" s="179"/>
      <c r="I13" s="61" t="str">
        <f>IFERROR(Reserve_Analysis3[[#This Row],[Actual Reserves ]]-Reserve_Analysis3[[#This Row],[Required Reserves]],"")</f>
        <v/>
      </c>
      <c r="J13" s="68" t="str">
        <f>IFERROR(Reserve_Analysis3[[#This Row],[Actual Reserves ]]/Reserve_Analysis3[[#This Row],[Required Reserves]],"")</f>
        <v/>
      </c>
      <c r="K13" s="59">
        <f>IF(Reserve_Analysis3[[#This Row],[Actual Reserves ]]&gt;= Reserve_Analysis3[[#This Row],[Replac. Cost]],0,Reserve_Analysis3[[#This Row],[Replac. Cost]]-Reserve_Analysis3[[#This Row],[Actual Reserves ]])</f>
        <v>0</v>
      </c>
      <c r="L13" s="18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0</v>
      </c>
    </row>
    <row r="14" spans="1:12" ht="16.2" x14ac:dyDescent="0.35">
      <c r="A14" s="189"/>
      <c r="B14" s="81"/>
      <c r="C14" s="190"/>
      <c r="D14" s="58">
        <f>IFERROR(Reserve_Analysis3[[#This Row],[Useful Life]]-Reserve_Analysis3[[#This Row],[Yrs. in Use]],"")</f>
        <v>0</v>
      </c>
      <c r="E14" s="81"/>
      <c r="F14" s="70" t="str">
        <f>IFERROR(Reserve_Analysis3[[#This Row],[Replac. Cost]]/Reserve_Analysis3[[#This Row],[Useful Life]],"")</f>
        <v/>
      </c>
      <c r="G14" s="59" t="str">
        <f>IFERROR(Reserve_Analysis3[[#This Row],[Yrs. in Use]]*Reserve_Analysis3[[#This Row],[Annual  Payment Amount]],"")</f>
        <v/>
      </c>
      <c r="H14" s="179"/>
      <c r="I14" s="61" t="str">
        <f>IFERROR(Reserve_Analysis3[[#This Row],[Actual Reserves ]]-Reserve_Analysis3[[#This Row],[Required Reserves]],"")</f>
        <v/>
      </c>
      <c r="J14" s="68" t="str">
        <f>IFERROR(Reserve_Analysis3[[#This Row],[Actual Reserves ]]/Reserve_Analysis3[[#This Row],[Required Reserves]],"")</f>
        <v/>
      </c>
      <c r="K14" s="59">
        <f>IF(Reserve_Analysis3[[#This Row],[Actual Reserves ]]&gt;= Reserve_Analysis3[[#This Row],[Replac. Cost]],0,Reserve_Analysis3[[#This Row],[Replac. Cost]]-Reserve_Analysis3[[#This Row],[Actual Reserves ]])</f>
        <v>0</v>
      </c>
      <c r="L14" s="18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0</v>
      </c>
    </row>
    <row r="15" spans="1:12" ht="16.2" x14ac:dyDescent="0.35">
      <c r="A15" s="189"/>
      <c r="B15" s="81"/>
      <c r="C15" s="81"/>
      <c r="D15" s="58">
        <f>IFERROR(Reserve_Analysis3[[#This Row],[Useful Life]]-Reserve_Analysis3[[#This Row],[Yrs. in Use]],"")</f>
        <v>0</v>
      </c>
      <c r="E15" s="81"/>
      <c r="F15" s="59" t="str">
        <f>IFERROR(Reserve_Analysis3[[#This Row],[Replac. Cost]]/Reserve_Analysis3[[#This Row],[Useful Life]],"")</f>
        <v/>
      </c>
      <c r="G15" s="59" t="str">
        <f>IFERROR(Reserve_Analysis3[[#This Row],[Yrs. in Use]]*Reserve_Analysis3[[#This Row],[Annual  Payment Amount]],"")</f>
        <v/>
      </c>
      <c r="H15" s="82"/>
      <c r="I15" s="61" t="str">
        <f>IFERROR(Reserve_Analysis3[[#This Row],[Actual Reserves ]]-Reserve_Analysis3[[#This Row],[Required Reserves]],"")</f>
        <v/>
      </c>
      <c r="J15" s="62" t="str">
        <f>IFERROR(Reserve_Analysis3[[#This Row],[Actual Reserves ]]/Reserve_Analysis3[[#This Row],[Required Reserves]],"")</f>
        <v/>
      </c>
      <c r="K15" s="59">
        <f>IF(Reserve_Analysis3[[#This Row],[Actual Reserves ]]&gt;= Reserve_Analysis3[[#This Row],[Replac. Cost]],0,Reserve_Analysis3[[#This Row],[Replac. Cost]]-Reserve_Analysis3[[#This Row],[Actual Reserves ]])</f>
        <v>0</v>
      </c>
      <c r="L15" s="18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0</v>
      </c>
    </row>
    <row r="16" spans="1:12" ht="16.2" x14ac:dyDescent="0.35">
      <c r="A16" s="189"/>
      <c r="B16" s="81"/>
      <c r="C16" s="81"/>
      <c r="D16" s="58">
        <f>IFERROR(Reserve_Analysis3[[#This Row],[Useful Life]]-Reserve_Analysis3[[#This Row],[Yrs. in Use]],"")</f>
        <v>0</v>
      </c>
      <c r="E16" s="81"/>
      <c r="F16" s="59" t="str">
        <f>IFERROR(Reserve_Analysis3[[#This Row],[Replac. Cost]]/Reserve_Analysis3[[#This Row],[Useful Life]],"")</f>
        <v/>
      </c>
      <c r="G16" s="59" t="str">
        <f>IFERROR(Reserve_Analysis3[[#This Row],[Yrs. in Use]]*Reserve_Analysis3[[#This Row],[Annual  Payment Amount]],"")</f>
        <v/>
      </c>
      <c r="H16" s="82"/>
      <c r="I16" s="61" t="str">
        <f>IFERROR(Reserve_Analysis3[[#This Row],[Actual Reserves ]]-Reserve_Analysis3[[#This Row],[Required Reserves]],"")</f>
        <v/>
      </c>
      <c r="J16" s="62" t="str">
        <f>IFERROR(Reserve_Analysis3[[#This Row],[Actual Reserves ]]/Reserve_Analysis3[[#This Row],[Required Reserves]],"")</f>
        <v/>
      </c>
      <c r="K16" s="59">
        <f>IF(Reserve_Analysis3[[#This Row],[Actual Reserves ]]&gt;= Reserve_Analysis3[[#This Row],[Replac. Cost]],0,Reserve_Analysis3[[#This Row],[Replac. Cost]]-Reserve_Analysis3[[#This Row],[Actual Reserves ]])</f>
        <v>0</v>
      </c>
      <c r="L16" s="18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0</v>
      </c>
    </row>
    <row r="17" spans="1:12" ht="16.2" x14ac:dyDescent="0.35">
      <c r="A17" s="189"/>
      <c r="B17" s="81"/>
      <c r="C17" s="81"/>
      <c r="D17" s="58">
        <f>IFERROR(Reserve_Analysis3[[#This Row],[Useful Life]]-Reserve_Analysis3[[#This Row],[Yrs. in Use]],"")</f>
        <v>0</v>
      </c>
      <c r="E17" s="81"/>
      <c r="F17" s="59" t="str">
        <f>IFERROR(Reserve_Analysis3[[#This Row],[Replac. Cost]]/Reserve_Analysis3[[#This Row],[Useful Life]],"")</f>
        <v/>
      </c>
      <c r="G17" s="59" t="str">
        <f>IFERROR(Reserve_Analysis3[[#This Row],[Yrs. in Use]]*Reserve_Analysis3[[#This Row],[Annual  Payment Amount]],"")</f>
        <v/>
      </c>
      <c r="H17" s="82"/>
      <c r="I17" s="61" t="str">
        <f>IFERROR(Reserve_Analysis3[[#This Row],[Actual Reserves ]]-Reserve_Analysis3[[#This Row],[Required Reserves]],"")</f>
        <v/>
      </c>
      <c r="J17" s="62" t="str">
        <f>IFERROR(Reserve_Analysis3[[#This Row],[Actual Reserves ]]/Reserve_Analysis3[[#This Row],[Required Reserves]],"")</f>
        <v/>
      </c>
      <c r="K17" s="59">
        <f>IF(Reserve_Analysis3[[#This Row],[Actual Reserves ]]&gt;= Reserve_Analysis3[[#This Row],[Replac. Cost]],0,Reserve_Analysis3[[#This Row],[Replac. Cost]]-Reserve_Analysis3[[#This Row],[Actual Reserves ]])</f>
        <v>0</v>
      </c>
      <c r="L17" s="18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0</v>
      </c>
    </row>
    <row r="18" spans="1:12" ht="16.2" x14ac:dyDescent="0.35">
      <c r="A18" s="189"/>
      <c r="B18" s="81"/>
      <c r="C18" s="81"/>
      <c r="D18" s="58">
        <f>IFERROR(Reserve_Analysis3[[#This Row],[Useful Life]]-Reserve_Analysis3[[#This Row],[Yrs. in Use]],"")</f>
        <v>0</v>
      </c>
      <c r="E18" s="81"/>
      <c r="F18" s="59" t="str">
        <f>IFERROR(Reserve_Analysis3[[#This Row],[Replac. Cost]]/Reserve_Analysis3[[#This Row],[Useful Life]],"")</f>
        <v/>
      </c>
      <c r="G18" s="59" t="str">
        <f>IFERROR(Reserve_Analysis3[[#This Row],[Yrs. in Use]]*Reserve_Analysis3[[#This Row],[Annual  Payment Amount]],"")</f>
        <v/>
      </c>
      <c r="H18" s="82"/>
      <c r="I18" s="61" t="str">
        <f>IFERROR(Reserve_Analysis3[[#This Row],[Actual Reserves ]]-Reserve_Analysis3[[#This Row],[Required Reserves]],"")</f>
        <v/>
      </c>
      <c r="J18" s="62" t="str">
        <f>IFERROR(Reserve_Analysis3[[#This Row],[Actual Reserves ]]/Reserve_Analysis3[[#This Row],[Required Reserves]],"")</f>
        <v/>
      </c>
      <c r="K18" s="59">
        <f>IF(Reserve_Analysis3[[#This Row],[Actual Reserves ]]&gt;= Reserve_Analysis3[[#This Row],[Replac. Cost]],0,Reserve_Analysis3[[#This Row],[Replac. Cost]]-Reserve_Analysis3[[#This Row],[Actual Reserves ]])</f>
        <v>0</v>
      </c>
      <c r="L18" s="18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0</v>
      </c>
    </row>
    <row r="19" spans="1:12" ht="16.2" x14ac:dyDescent="0.35">
      <c r="A19" s="189"/>
      <c r="B19" s="81"/>
      <c r="C19" s="81"/>
      <c r="D19" s="58">
        <f>IFERROR(Reserve_Analysis3[[#This Row],[Useful Life]]-Reserve_Analysis3[[#This Row],[Yrs. in Use]],"")</f>
        <v>0</v>
      </c>
      <c r="E19" s="81"/>
      <c r="F19" s="59" t="str">
        <f>IFERROR(Reserve_Analysis3[[#This Row],[Replac. Cost]]/Reserve_Analysis3[[#This Row],[Useful Life]],"")</f>
        <v/>
      </c>
      <c r="G19" s="59" t="str">
        <f>IFERROR(Reserve_Analysis3[[#This Row],[Yrs. in Use]]*Reserve_Analysis3[[#This Row],[Annual  Payment Amount]],"")</f>
        <v/>
      </c>
      <c r="H19" s="82"/>
      <c r="I19" s="61" t="str">
        <f>IFERROR(Reserve_Analysis3[[#This Row],[Actual Reserves ]]-Reserve_Analysis3[[#This Row],[Required Reserves]],"")</f>
        <v/>
      </c>
      <c r="J19" s="62" t="str">
        <f>IFERROR(Reserve_Analysis3[[#This Row],[Actual Reserves ]]/Reserve_Analysis3[[#This Row],[Required Reserves]],"")</f>
        <v/>
      </c>
      <c r="K19" s="59">
        <f>IF(Reserve_Analysis3[[#This Row],[Actual Reserves ]]&gt;= Reserve_Analysis3[[#This Row],[Replac. Cost]],0,Reserve_Analysis3[[#This Row],[Replac. Cost]]-Reserve_Analysis3[[#This Row],[Actual Reserves ]])</f>
        <v>0</v>
      </c>
      <c r="L19" s="188">
        <f>IF(AND(Reserve_Analysis3[[#This Row],[Remain. Life]]=0,Reserve_Analysis3[[#This Row],[Amount to Fund Replac. ]]&gt;0),Reserve_Analysis3[[#This Row],[Amount to Fund Replac. ]]/5,(IF(AND(Reserve_Analysis3[[#This Row],[Remain. Life]]&gt;0,Reserve_Analysis3[[#This Row],[Amount to Fund Replac. ]]&gt;0),Reserve_Analysis3[[#This Row],[Amount to Fund Replac. ]]/Reserve_Analysis3[[#This Row],[Remain. Life]],(IF(AND(Reserve_Analysis3[[#This Row],[Remain. Life]]&gt;0,Reserve_Analysis3[[#This Row],[Amount to Fund Replac. ]]=0),0,(IF(AND(Reserve_Analysis3[[#This Row],[Remain. Life]]=0,Reserve_Analysis3[[#This Row],[Amount to Fund Replac. ]]=0),0)))))))</f>
        <v>0</v>
      </c>
    </row>
    <row r="20" spans="1:12" ht="13.8" x14ac:dyDescent="0.3">
      <c r="A20" s="191"/>
      <c r="B20" s="192"/>
      <c r="C20" s="192"/>
      <c r="D20" s="86" t="s">
        <v>15</v>
      </c>
      <c r="E20" s="64">
        <f>SUBTOTAL(109,Reserve_Analysis3[Replac. Cost])</f>
        <v>752270</v>
      </c>
      <c r="F20" s="65">
        <f>SUBTOTAL(109,Reserve_Analysis3[Annual  Payment Amount])</f>
        <v>55155.416666666664</v>
      </c>
      <c r="G20" s="65">
        <f>SUBTOTAL(109,Reserve_Analysis3[Required Reserves])</f>
        <v>521260</v>
      </c>
      <c r="H20" s="65">
        <f>SUBTOTAL(109,Reserve_Analysis3[[Actual Reserves ]])</f>
        <v>427777</v>
      </c>
      <c r="I20" s="65">
        <f>SUBTOTAL(109,Reserve_Analysis3[Adequate / (Shortage)])</f>
        <v>-93483</v>
      </c>
      <c r="J20" s="193">
        <f>IF(ISERROR(Reserve_Analysis3[[#Totals],[Actual Reserves ]]/Reserve_Analysis3[[#Totals],[Required Reserves]]),"",H20/G20)</f>
        <v>0.82065955569197713</v>
      </c>
      <c r="K20" s="65">
        <f>SUBTOTAL(109,Reserve_Analysis3[Amount to Fund Replac. ])</f>
        <v>324493</v>
      </c>
      <c r="L20" s="194">
        <f>SUBTOTAL(109,Reserve_Analysis3[Annual Replac. Cost])</f>
        <v>73510.883333333331</v>
      </c>
    </row>
    <row r="21" spans="1:12" ht="13.8" x14ac:dyDescent="0.3">
      <c r="A21" s="66"/>
      <c r="B21" s="49"/>
      <c r="C21" s="44"/>
      <c r="D21" s="44"/>
      <c r="E21" s="44"/>
      <c r="F21" s="41"/>
      <c r="G21" s="45"/>
      <c r="H21" s="49"/>
      <c r="I21" s="49"/>
      <c r="J21" s="41"/>
      <c r="K21" s="41"/>
      <c r="L21" s="41"/>
    </row>
    <row r="22" spans="1:12" ht="12.75" customHeight="1" x14ac:dyDescent="0.25">
      <c r="A22" s="257" t="s">
        <v>79</v>
      </c>
      <c r="B22" s="257"/>
      <c r="C22" s="257"/>
      <c r="D22" s="257"/>
      <c r="E22" s="257"/>
      <c r="F22" s="257"/>
      <c r="G22" s="257"/>
      <c r="H22" s="257"/>
      <c r="I22" s="257"/>
      <c r="J22" s="257"/>
      <c r="K22" s="257"/>
      <c r="L22" s="257"/>
    </row>
    <row r="23" spans="1:12" ht="12.75" customHeight="1" x14ac:dyDescent="0.25">
      <c r="A23" s="257"/>
      <c r="B23" s="257"/>
      <c r="C23" s="257"/>
      <c r="D23" s="257"/>
      <c r="E23" s="257"/>
      <c r="F23" s="257"/>
      <c r="G23" s="257"/>
      <c r="H23" s="257"/>
      <c r="I23" s="257"/>
      <c r="J23" s="257"/>
      <c r="K23" s="257"/>
      <c r="L23" s="257"/>
    </row>
    <row r="24" spans="1:12" ht="12.75" customHeight="1" x14ac:dyDescent="0.25">
      <c r="A24" s="257"/>
      <c r="B24" s="257"/>
      <c r="C24" s="257"/>
      <c r="D24" s="257"/>
      <c r="E24" s="257"/>
      <c r="F24" s="257"/>
      <c r="G24" s="257"/>
      <c r="H24" s="257"/>
      <c r="I24" s="257"/>
      <c r="J24" s="257"/>
      <c r="K24" s="257"/>
      <c r="L24" s="257"/>
    </row>
    <row r="25" spans="1:12" ht="12.75" customHeight="1" x14ac:dyDescent="0.25">
      <c r="A25" s="257"/>
      <c r="B25" s="257"/>
      <c r="C25" s="257"/>
      <c r="D25" s="257"/>
      <c r="E25" s="257"/>
      <c r="F25" s="257"/>
      <c r="G25" s="257"/>
      <c r="H25" s="257"/>
      <c r="I25" s="257"/>
      <c r="J25" s="257"/>
      <c r="K25" s="257"/>
      <c r="L25" s="257"/>
    </row>
    <row r="26" spans="1:12" ht="16.5" customHeight="1" x14ac:dyDescent="0.25">
      <c r="A26" s="257"/>
      <c r="B26" s="257"/>
      <c r="C26" s="257"/>
      <c r="D26" s="257"/>
      <c r="E26" s="257"/>
      <c r="F26" s="257"/>
      <c r="G26" s="257"/>
      <c r="H26" s="257"/>
      <c r="I26" s="257"/>
      <c r="J26" s="257"/>
      <c r="K26" s="257"/>
      <c r="L26" s="257"/>
    </row>
    <row r="27" spans="1:12" ht="12.75" customHeight="1" x14ac:dyDescent="0.25">
      <c r="A27" s="67"/>
      <c r="B27" s="67"/>
      <c r="C27" s="67"/>
      <c r="D27" s="67"/>
      <c r="E27" s="67"/>
      <c r="F27" s="67"/>
      <c r="G27" s="67"/>
      <c r="H27" s="67"/>
      <c r="I27" s="67"/>
      <c r="J27" s="67"/>
      <c r="K27" s="67"/>
      <c r="L27" s="67"/>
    </row>
    <row r="28" spans="1:12" ht="12.75" customHeight="1" x14ac:dyDescent="0.25">
      <c r="A28" s="257" t="s">
        <v>43</v>
      </c>
      <c r="B28" s="257"/>
      <c r="C28" s="257"/>
      <c r="D28" s="257"/>
      <c r="E28" s="257"/>
      <c r="F28" s="257"/>
      <c r="G28" s="257"/>
      <c r="H28" s="257"/>
      <c r="I28" s="257"/>
      <c r="J28" s="257"/>
      <c r="K28" s="257"/>
      <c r="L28" s="257"/>
    </row>
    <row r="29" spans="1:12" ht="12.75" customHeight="1" x14ac:dyDescent="0.25">
      <c r="A29" s="257"/>
      <c r="B29" s="257"/>
      <c r="C29" s="257"/>
      <c r="D29" s="257"/>
      <c r="E29" s="257"/>
      <c r="F29" s="257"/>
      <c r="G29" s="257"/>
      <c r="H29" s="257"/>
      <c r="I29" s="257"/>
      <c r="J29" s="257"/>
      <c r="K29" s="257"/>
      <c r="L29" s="257"/>
    </row>
    <row r="30" spans="1:12" ht="12.75" customHeight="1" x14ac:dyDescent="0.25">
      <c r="A30" s="257"/>
      <c r="B30" s="257"/>
      <c r="C30" s="257"/>
      <c r="D30" s="257"/>
      <c r="E30" s="257"/>
      <c r="F30" s="257"/>
      <c r="G30" s="257"/>
      <c r="H30" s="257"/>
      <c r="I30" s="257"/>
      <c r="J30" s="257"/>
      <c r="K30" s="257"/>
      <c r="L30" s="257"/>
    </row>
    <row r="31" spans="1:12" ht="13.2" customHeight="1" x14ac:dyDescent="0.25">
      <c r="A31" s="257"/>
      <c r="B31" s="257"/>
      <c r="C31" s="257"/>
      <c r="D31" s="257"/>
      <c r="E31" s="257"/>
      <c r="F31" s="257"/>
      <c r="G31" s="257"/>
      <c r="H31" s="257"/>
      <c r="I31" s="257"/>
      <c r="J31" s="257"/>
      <c r="K31" s="257"/>
      <c r="L31" s="257"/>
    </row>
    <row r="32" spans="1:12" x14ac:dyDescent="0.25">
      <c r="A32" s="257"/>
      <c r="B32" s="257"/>
      <c r="C32" s="257"/>
      <c r="D32" s="257"/>
      <c r="E32" s="257"/>
      <c r="F32" s="257"/>
      <c r="G32" s="257"/>
      <c r="H32" s="257"/>
      <c r="I32" s="257"/>
      <c r="J32" s="257"/>
      <c r="K32" s="257"/>
      <c r="L32" s="257"/>
    </row>
  </sheetData>
  <sheetProtection algorithmName="SHA-512" hashValue="yfXonzmKoNkfZ4j/ssAm6HS+16ufbNUdToJmYSvdHx4NrmLycPYuLYmpu1eoVFaMA+6VdSUnumiEYsQxP6DKCw==" saltValue="XARXU6Yi6Tv6DHnFaaQHNg==" spinCount="100000" sheet="1" objects="1" scenarios="1" selectLockedCells="1" selectUnlockedCells="1"/>
  <mergeCells count="8">
    <mergeCell ref="A22:L26"/>
    <mergeCell ref="A28:L32"/>
    <mergeCell ref="B1:E1"/>
    <mergeCell ref="I1:J1"/>
    <mergeCell ref="H2:I2"/>
    <mergeCell ref="A3:C3"/>
    <mergeCell ref="F3:I3"/>
    <mergeCell ref="B4:F4"/>
  </mergeCells>
  <pageMargins left="0.25" right="0.25" top="0.75" bottom="0.75" header="0.3" footer="0.3"/>
  <pageSetup scale="86" orientation="landscape" r:id="rId1"/>
  <headerFooter>
    <oddHeader>&amp;C&amp;"Arial,Bold"&amp;14Reserve Items Analysis&amp;KFF0000*&amp;"Arial,Regular"&amp;10&amp;K000000
Version: 1.10</oddHeader>
  </headerFooter>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BUDGET</vt:lpstr>
      <vt:lpstr>BUDGET - Example</vt:lpstr>
      <vt:lpstr>RESERVE ANALYSIS</vt:lpstr>
      <vt:lpstr>RESERVE ANALYSIS - Example</vt:lpstr>
      <vt:lpstr>BUDGET!Print_Area</vt:lpstr>
      <vt:lpstr>'BUDGET - Example'!Print_Area</vt:lpstr>
    </vt:vector>
  </TitlesOfParts>
  <Manager>rhelmer@ahfc.us</Manager>
  <Company>AHFC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rhelmer@ahfc.us</dc:creator>
  <cp:lastModifiedBy>Roger Helmer</cp:lastModifiedBy>
  <cp:lastPrinted>2016-08-26T21:32:11Z</cp:lastPrinted>
  <dcterms:created xsi:type="dcterms:W3CDTF">2001-05-10T18:45:03Z</dcterms:created>
  <dcterms:modified xsi:type="dcterms:W3CDTF">2016-08-30T21:08:19Z</dcterms:modified>
</cp:coreProperties>
</file>