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3.xml" ContentType="application/vnd.openxmlformats-officedocument.spreadsheetml.comments+xml"/>
  <Override PartName="/xl/tables/table8.xml" ContentType="application/vnd.openxmlformats-officedocument.spreadsheetml.table+xml"/>
  <Override PartName="/xl/comments4.xml" ContentType="application/vnd.openxmlformats-officedocument.spreadsheetml.comments+xml"/>
  <Override PartName="/xl/tables/table9.xml" ContentType="application/vnd.openxmlformats-officedocument.spreadsheetml.table+xml"/>
  <Override PartName="/xl/comments5.xml" ContentType="application/vnd.openxmlformats-officedocument.spreadsheetml.comments+xml"/>
  <Override PartName="/xl/tables/table10.xml" ContentType="application/vnd.openxmlformats-officedocument.spreadsheetml.table+xml"/>
  <Override PartName="/xl/comments6.xml" ContentType="application/vnd.openxmlformats-officedocument.spreadsheetml.comments+xml"/>
  <Override PartName="/xl/tables/table1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jmccall\Desktop\"/>
    </mc:Choice>
  </mc:AlternateContent>
  <bookViews>
    <workbookView xWindow="0" yWindow="0" windowWidth="20160" windowHeight="10300" tabRatio="892" firstSheet="1" activeTab="4"/>
  </bookViews>
  <sheets>
    <sheet name="Instructions" sheetId="28" state="hidden" r:id="rId1"/>
    <sheet name="Allocate Reserve Funds" sheetId="40" r:id="rId2"/>
    <sheet name="BUDGET" sheetId="27" r:id="rId3"/>
    <sheet name="BUDGET - Example" sheetId="34" state="hidden" r:id="rId4"/>
    <sheet name="RESERVE ANALYSIS" sheetId="41" r:id="rId5"/>
    <sheet name="RESERVE ANALYSIS Example" sheetId="31" r:id="rId6"/>
    <sheet name="RESERVE ANALYSIS - Example" sheetId="32" state="hidden" r:id="rId7"/>
    <sheet name="ARF - Example" sheetId="39" state="hidden" r:id="rId8"/>
  </sheets>
  <definedNames>
    <definedName name="_xlnm.Print_Area" localSheetId="1">'Allocate Reserve Funds'!$A$1:$I$29</definedName>
    <definedName name="_xlnm.Print_Area" localSheetId="7">'ARF - Example'!$A$1:$I$27</definedName>
    <definedName name="_xlnm.Print_Area" localSheetId="2">BUDGET!$A$1:$G$73</definedName>
    <definedName name="_xlnm.Print_Area" localSheetId="3">'BUDGET - Example'!$A$1:$H$70</definedName>
    <definedName name="_xlnm.Print_Area" localSheetId="5">'RESERVE ANALYSIS Example'!$A$1:$M$39</definedName>
  </definedNames>
  <calcPr calcId="162913"/>
</workbook>
</file>

<file path=xl/calcChain.xml><?xml version="1.0" encoding="utf-8"?>
<calcChain xmlns="http://schemas.openxmlformats.org/spreadsheetml/2006/main">
  <c r="A45" i="27" l="1"/>
  <c r="A46" i="27"/>
  <c r="A47" i="27"/>
  <c r="A48" i="27"/>
  <c r="A49" i="27"/>
  <c r="A50" i="27"/>
  <c r="A51" i="27"/>
  <c r="A52" i="27"/>
  <c r="A53" i="27"/>
  <c r="A54" i="27"/>
  <c r="A55" i="27"/>
  <c r="A56" i="27"/>
  <c r="A57" i="27"/>
  <c r="A58" i="27"/>
  <c r="A59" i="27"/>
  <c r="A60" i="27"/>
  <c r="A61" i="27"/>
  <c r="A62" i="27"/>
  <c r="A63" i="27"/>
  <c r="A44" i="27"/>
  <c r="H29" i="41" l="1"/>
  <c r="E29" i="41"/>
  <c r="L28" i="41"/>
  <c r="F28" i="41"/>
  <c r="G28" i="41" s="1"/>
  <c r="J28" i="41" s="1"/>
  <c r="D28" i="41"/>
  <c r="M28" i="41" s="1"/>
  <c r="L27" i="41"/>
  <c r="F27" i="41"/>
  <c r="G27" i="41" s="1"/>
  <c r="J27" i="41" s="1"/>
  <c r="D27" i="41"/>
  <c r="L26" i="41"/>
  <c r="F26" i="41"/>
  <c r="G26" i="41" s="1"/>
  <c r="J26" i="41" s="1"/>
  <c r="D26" i="41"/>
  <c r="M26" i="41" s="1"/>
  <c r="L25" i="41"/>
  <c r="F25" i="41"/>
  <c r="G25" i="41" s="1"/>
  <c r="D25" i="41"/>
  <c r="M25" i="41" s="1"/>
  <c r="L24" i="41"/>
  <c r="F24" i="41"/>
  <c r="G24" i="41" s="1"/>
  <c r="J24" i="41" s="1"/>
  <c r="D24" i="41"/>
  <c r="M24" i="41" s="1"/>
  <c r="L23" i="41"/>
  <c r="F23" i="41"/>
  <c r="G23" i="41" s="1"/>
  <c r="J23" i="41" s="1"/>
  <c r="D23" i="41"/>
  <c r="M23" i="41" s="1"/>
  <c r="L22" i="41"/>
  <c r="F22" i="41"/>
  <c r="G22" i="41" s="1"/>
  <c r="J22" i="41" s="1"/>
  <c r="D22" i="41"/>
  <c r="L21" i="41"/>
  <c r="F21" i="41"/>
  <c r="G21" i="41" s="1"/>
  <c r="J21" i="41" s="1"/>
  <c r="D21" i="41"/>
  <c r="M21" i="41" s="1"/>
  <c r="L20" i="41"/>
  <c r="F20" i="41"/>
  <c r="G20" i="41" s="1"/>
  <c r="J20" i="41" s="1"/>
  <c r="D20" i="41"/>
  <c r="L19" i="41"/>
  <c r="F19" i="41"/>
  <c r="G19" i="41" s="1"/>
  <c r="J19" i="41" s="1"/>
  <c r="D19" i="41"/>
  <c r="M19" i="41" s="1"/>
  <c r="L18" i="41"/>
  <c r="F18" i="41"/>
  <c r="G18" i="41" s="1"/>
  <c r="J18" i="41" s="1"/>
  <c r="D18" i="41"/>
  <c r="L17" i="41"/>
  <c r="F17" i="41"/>
  <c r="G17" i="41" s="1"/>
  <c r="D17" i="41"/>
  <c r="M17" i="41" s="1"/>
  <c r="L16" i="41"/>
  <c r="F16" i="41"/>
  <c r="G16" i="41" s="1"/>
  <c r="J16" i="41" s="1"/>
  <c r="D16" i="41"/>
  <c r="L15" i="41"/>
  <c r="F15" i="41"/>
  <c r="G15" i="41" s="1"/>
  <c r="J15" i="41" s="1"/>
  <c r="D15" i="41"/>
  <c r="L14" i="41"/>
  <c r="F14" i="41"/>
  <c r="G14" i="41" s="1"/>
  <c r="J14" i="41" s="1"/>
  <c r="D14" i="41"/>
  <c r="L13" i="41"/>
  <c r="G13" i="41"/>
  <c r="J13" i="41" s="1"/>
  <c r="F13" i="41"/>
  <c r="D13" i="41"/>
  <c r="L12" i="41"/>
  <c r="F12" i="41"/>
  <c r="G12" i="41" s="1"/>
  <c r="D12" i="41"/>
  <c r="L11" i="41"/>
  <c r="F11" i="41"/>
  <c r="G11" i="41" s="1"/>
  <c r="J11" i="41" s="1"/>
  <c r="D11" i="41"/>
  <c r="L10" i="41"/>
  <c r="F10" i="41"/>
  <c r="G10" i="41" s="1"/>
  <c r="D10" i="41"/>
  <c r="L9" i="41"/>
  <c r="F9" i="41"/>
  <c r="G9" i="41" s="1"/>
  <c r="D9" i="41"/>
  <c r="L8" i="41"/>
  <c r="I29" i="41"/>
  <c r="F8" i="41"/>
  <c r="G8" i="41" s="1"/>
  <c r="D8" i="41"/>
  <c r="L7" i="41"/>
  <c r="F7" i="41"/>
  <c r="G7" i="41" s="1"/>
  <c r="D7" i="41"/>
  <c r="K17" i="41" l="1"/>
  <c r="J17" i="41"/>
  <c r="K25" i="41"/>
  <c r="J25" i="41"/>
  <c r="K12" i="41"/>
  <c r="J12" i="41"/>
  <c r="M15" i="41"/>
  <c r="K10" i="41"/>
  <c r="J10" i="41"/>
  <c r="M13" i="41"/>
  <c r="K9" i="41"/>
  <c r="J9" i="41"/>
  <c r="K8" i="41"/>
  <c r="J8" i="41"/>
  <c r="M20" i="41"/>
  <c r="M27" i="41"/>
  <c r="M14" i="41"/>
  <c r="K15" i="41"/>
  <c r="M18" i="41"/>
  <c r="K19" i="41"/>
  <c r="M22" i="41"/>
  <c r="K23" i="41"/>
  <c r="K27" i="41"/>
  <c r="M7" i="41"/>
  <c r="M8" i="41"/>
  <c r="M16" i="41"/>
  <c r="L29" i="41"/>
  <c r="M9" i="41"/>
  <c r="M10" i="41"/>
  <c r="M11" i="41"/>
  <c r="M12" i="41"/>
  <c r="K14" i="41"/>
  <c r="K26" i="41"/>
  <c r="K28" i="41"/>
  <c r="K16" i="41"/>
  <c r="K18" i="41"/>
  <c r="K20" i="41"/>
  <c r="K22" i="41"/>
  <c r="K24" i="41"/>
  <c r="J7" i="41"/>
  <c r="G29" i="41"/>
  <c r="K29" i="41" s="1"/>
  <c r="K7" i="41"/>
  <c r="K13" i="41"/>
  <c r="K21" i="41"/>
  <c r="K11" i="41"/>
  <c r="F29" i="41"/>
  <c r="D3" i="41" s="1"/>
  <c r="L6" i="31"/>
  <c r="L12" i="31"/>
  <c r="L13" i="31"/>
  <c r="L14" i="31"/>
  <c r="L15" i="31"/>
  <c r="L16" i="31"/>
  <c r="L17" i="31"/>
  <c r="L18" i="31"/>
  <c r="L19" i="31"/>
  <c r="L20" i="31"/>
  <c r="L21" i="31"/>
  <c r="L22" i="31"/>
  <c r="L23" i="31"/>
  <c r="L24" i="31"/>
  <c r="L25" i="31"/>
  <c r="L26" i="31"/>
  <c r="L27" i="31"/>
  <c r="M29" i="41" l="1"/>
  <c r="K3" i="41" s="1"/>
  <c r="J29" i="41"/>
  <c r="D27" i="31"/>
  <c r="F27" i="31"/>
  <c r="G27" i="31" s="1"/>
  <c r="M27" i="31"/>
  <c r="H28" i="31"/>
  <c r="I7" i="31"/>
  <c r="L7" i="31" s="1"/>
  <c r="I11" i="31"/>
  <c r="L11" i="31" s="1"/>
  <c r="I10" i="31"/>
  <c r="L10" i="31" s="1"/>
  <c r="I9" i="31"/>
  <c r="L9" i="31" s="1"/>
  <c r="I8" i="31"/>
  <c r="L8" i="31" s="1"/>
  <c r="J27" i="31" l="1"/>
  <c r="K27" i="31"/>
  <c r="B27" i="40"/>
  <c r="B3" i="40" s="1"/>
  <c r="C7" i="40" s="1"/>
  <c r="D7" i="40" s="1"/>
  <c r="C16" i="40" l="1"/>
  <c r="D16" i="40" s="1"/>
  <c r="C8" i="40"/>
  <c r="D8" i="40" s="1"/>
  <c r="C25" i="40"/>
  <c r="D25" i="40" s="1"/>
  <c r="C17" i="40"/>
  <c r="D17" i="40" s="1"/>
  <c r="C9" i="40"/>
  <c r="D9" i="40" s="1"/>
  <c r="C18" i="40"/>
  <c r="D18" i="40" s="1"/>
  <c r="C24" i="40"/>
  <c r="D24" i="40" s="1"/>
  <c r="C26" i="40"/>
  <c r="D26" i="40" s="1"/>
  <c r="C10" i="40"/>
  <c r="D10" i="40" s="1"/>
  <c r="C6" i="40"/>
  <c r="D6" i="40" s="1"/>
  <c r="C19" i="40"/>
  <c r="D19" i="40" s="1"/>
  <c r="C11" i="40"/>
  <c r="D11" i="40" s="1"/>
  <c r="C20" i="40"/>
  <c r="D20" i="40" s="1"/>
  <c r="C21" i="40"/>
  <c r="D21" i="40" s="1"/>
  <c r="C13" i="40"/>
  <c r="D13" i="40" s="1"/>
  <c r="C12" i="40"/>
  <c r="D12" i="40" s="1"/>
  <c r="C22" i="40"/>
  <c r="D22" i="40" s="1"/>
  <c r="C14" i="40"/>
  <c r="D14" i="40" s="1"/>
  <c r="C23" i="40"/>
  <c r="D23" i="40" s="1"/>
  <c r="C15" i="40"/>
  <c r="D15" i="40" s="1"/>
  <c r="B27" i="39"/>
  <c r="B3" i="39" s="1"/>
  <c r="C6" i="39" s="1"/>
  <c r="D6" i="39" s="1"/>
  <c r="C9" i="39" l="1"/>
  <c r="D9" i="39" s="1"/>
  <c r="C11" i="39"/>
  <c r="D11" i="39" s="1"/>
  <c r="C10" i="39"/>
  <c r="D10" i="39" s="1"/>
  <c r="C8" i="39"/>
  <c r="D8" i="39" s="1"/>
  <c r="D27" i="39" s="1"/>
  <c r="C7" i="39"/>
  <c r="D7" i="39" s="1"/>
  <c r="C27" i="40"/>
  <c r="D27" i="40"/>
  <c r="C27" i="39" l="1"/>
  <c r="B62" i="27"/>
  <c r="E62" i="27"/>
  <c r="B61" i="27"/>
  <c r="E61" i="27"/>
  <c r="B57" i="27"/>
  <c r="E57" i="27"/>
  <c r="B58" i="27"/>
  <c r="E58" i="27"/>
  <c r="B59" i="27"/>
  <c r="E59" i="27"/>
  <c r="B60" i="27"/>
  <c r="E60" i="27"/>
  <c r="G62" i="27" l="1"/>
  <c r="G57" i="27"/>
  <c r="G59" i="27"/>
  <c r="G61" i="27"/>
  <c r="G58" i="27"/>
  <c r="G60" i="27"/>
  <c r="F39" i="27"/>
  <c r="K6" i="32" l="1"/>
  <c r="F38" i="34"/>
  <c r="D60" i="34" l="1"/>
  <c r="D62" i="34" s="1"/>
  <c r="F57" i="34"/>
  <c r="F60" i="34" s="1"/>
  <c r="F62" i="34" s="1"/>
  <c r="D57" i="34"/>
  <c r="C57" i="34"/>
  <c r="C60" i="34" s="1"/>
  <c r="C62" i="34" s="1"/>
  <c r="E56" i="34"/>
  <c r="B56" i="34"/>
  <c r="A56" i="34"/>
  <c r="E55" i="34"/>
  <c r="B55" i="34"/>
  <c r="A55" i="34"/>
  <c r="E54" i="34"/>
  <c r="B54" i="34"/>
  <c r="A54" i="34"/>
  <c r="E53" i="34"/>
  <c r="B53" i="34"/>
  <c r="A53" i="34"/>
  <c r="E52" i="34"/>
  <c r="B52" i="34"/>
  <c r="A52" i="34"/>
  <c r="E51" i="34"/>
  <c r="B51" i="34"/>
  <c r="A51" i="34"/>
  <c r="E50" i="34"/>
  <c r="B50" i="34"/>
  <c r="A50" i="34"/>
  <c r="E49" i="34"/>
  <c r="B49" i="34"/>
  <c r="A49" i="34"/>
  <c r="E48" i="34"/>
  <c r="B48" i="34"/>
  <c r="E47" i="34"/>
  <c r="B47" i="34"/>
  <c r="E46" i="34"/>
  <c r="B46" i="34"/>
  <c r="E45" i="34"/>
  <c r="B45" i="34"/>
  <c r="E44" i="34"/>
  <c r="B44" i="34"/>
  <c r="E43" i="34"/>
  <c r="B43" i="34"/>
  <c r="E42" i="34"/>
  <c r="B42" i="34"/>
  <c r="D38" i="34"/>
  <c r="C38" i="34"/>
  <c r="E37" i="34"/>
  <c r="B37" i="34"/>
  <c r="E36" i="34"/>
  <c r="B36" i="34"/>
  <c r="E35" i="34"/>
  <c r="B35" i="34"/>
  <c r="E34" i="34"/>
  <c r="B34" i="34"/>
  <c r="E33" i="34"/>
  <c r="B33" i="34"/>
  <c r="E32" i="34"/>
  <c r="B32" i="34"/>
  <c r="E31" i="34"/>
  <c r="B31" i="34"/>
  <c r="E30" i="34"/>
  <c r="B30" i="34"/>
  <c r="E29" i="34"/>
  <c r="B29" i="34"/>
  <c r="E28" i="34"/>
  <c r="B28" i="34"/>
  <c r="E27" i="34"/>
  <c r="B27" i="34"/>
  <c r="E26" i="34"/>
  <c r="B26" i="34"/>
  <c r="E25" i="34"/>
  <c r="B25" i="34"/>
  <c r="E24" i="34"/>
  <c r="B24" i="34"/>
  <c r="E23" i="34"/>
  <c r="B23" i="34"/>
  <c r="F18" i="34"/>
  <c r="D18" i="34"/>
  <c r="C18" i="34"/>
  <c r="E17" i="34"/>
  <c r="B17" i="34"/>
  <c r="E16" i="34"/>
  <c r="B16" i="34"/>
  <c r="E15" i="34"/>
  <c r="B15" i="34"/>
  <c r="E14" i="34"/>
  <c r="B14" i="34"/>
  <c r="E13" i="34"/>
  <c r="B13" i="34"/>
  <c r="E12" i="34"/>
  <c r="B12" i="34"/>
  <c r="E11" i="34"/>
  <c r="B11" i="34"/>
  <c r="E10" i="34"/>
  <c r="B10" i="34"/>
  <c r="E9" i="34"/>
  <c r="B9" i="34"/>
  <c r="E8" i="34"/>
  <c r="B8" i="34"/>
  <c r="G10" i="34" l="1"/>
  <c r="G34" i="34"/>
  <c r="G36" i="34"/>
  <c r="G50" i="34"/>
  <c r="G54" i="34"/>
  <c r="G12" i="34"/>
  <c r="G52" i="34"/>
  <c r="G56" i="34"/>
  <c r="G37" i="34"/>
  <c r="G16" i="34"/>
  <c r="B18" i="34"/>
  <c r="E38" i="34"/>
  <c r="G2" i="34" s="1"/>
  <c r="G9" i="34"/>
  <c r="G11" i="34"/>
  <c r="G24" i="34"/>
  <c r="G32" i="34"/>
  <c r="G31" i="34"/>
  <c r="B38" i="34"/>
  <c r="G29" i="34"/>
  <c r="G28" i="34"/>
  <c r="G8" i="34"/>
  <c r="G26" i="34"/>
  <c r="F59" i="34"/>
  <c r="F66" i="34" s="1"/>
  <c r="G48" i="34"/>
  <c r="G46" i="34"/>
  <c r="G45" i="34"/>
  <c r="D59" i="34"/>
  <c r="D66" i="34" s="1"/>
  <c r="C59" i="34"/>
  <c r="C66" i="34" s="1"/>
  <c r="G13" i="34"/>
  <c r="G14" i="34"/>
  <c r="G17" i="34"/>
  <c r="G25" i="34"/>
  <c r="G27" i="34"/>
  <c r="G43" i="34"/>
  <c r="G49" i="34"/>
  <c r="G53" i="34"/>
  <c r="G30" i="34"/>
  <c r="G33" i="34"/>
  <c r="G35" i="34"/>
  <c r="G44" i="34"/>
  <c r="G47" i="34"/>
  <c r="G51" i="34"/>
  <c r="G55" i="34"/>
  <c r="E18" i="34"/>
  <c r="G15" i="34"/>
  <c r="G23" i="34"/>
  <c r="G42" i="34"/>
  <c r="E57" i="34"/>
  <c r="B57" i="34"/>
  <c r="E59" i="34" l="1"/>
  <c r="E66" i="34" s="1"/>
  <c r="G3" i="34"/>
  <c r="G4" i="34" s="1"/>
  <c r="G18" i="34"/>
  <c r="B59" i="34"/>
  <c r="B66" i="34" s="1"/>
  <c r="G38" i="34"/>
  <c r="E60" i="34"/>
  <c r="E62" i="34" s="1"/>
  <c r="G57" i="34"/>
  <c r="G60" i="34" s="1"/>
  <c r="G62" i="34" s="1"/>
  <c r="B60" i="34"/>
  <c r="B62" i="34" s="1"/>
  <c r="G59" i="34" l="1"/>
  <c r="G66" i="34" s="1"/>
  <c r="E44" i="27"/>
  <c r="E45" i="27"/>
  <c r="E46" i="27"/>
  <c r="E47" i="27"/>
  <c r="E48" i="27"/>
  <c r="E49" i="27"/>
  <c r="E50" i="27"/>
  <c r="E51" i="27"/>
  <c r="E52" i="27"/>
  <c r="E53" i="27"/>
  <c r="E54" i="27"/>
  <c r="E55" i="27"/>
  <c r="E56" i="27"/>
  <c r="E63" i="27"/>
  <c r="E43" i="27"/>
  <c r="E25" i="27"/>
  <c r="E26" i="27"/>
  <c r="E27" i="27"/>
  <c r="E28" i="27"/>
  <c r="E29" i="27"/>
  <c r="E30" i="27"/>
  <c r="E31" i="27"/>
  <c r="E32" i="27"/>
  <c r="E33" i="27"/>
  <c r="E34" i="27"/>
  <c r="E35" i="27"/>
  <c r="E36" i="27"/>
  <c r="E37" i="27"/>
  <c r="E38" i="27"/>
  <c r="B50" i="27"/>
  <c r="B51" i="27"/>
  <c r="B52" i="27"/>
  <c r="B53" i="27"/>
  <c r="B54" i="27"/>
  <c r="B55" i="27"/>
  <c r="B56" i="27"/>
  <c r="B63" i="27"/>
  <c r="B31" i="27"/>
  <c r="B32" i="27"/>
  <c r="B33" i="27"/>
  <c r="B34" i="27"/>
  <c r="B35" i="27"/>
  <c r="B36" i="27"/>
  <c r="B37" i="27"/>
  <c r="B38" i="27"/>
  <c r="B14" i="27"/>
  <c r="B15" i="27"/>
  <c r="E14" i="27"/>
  <c r="E15" i="27"/>
  <c r="B10" i="27"/>
  <c r="B11" i="27"/>
  <c r="B12" i="27"/>
  <c r="B13" i="27"/>
  <c r="B16" i="27"/>
  <c r="B17" i="27"/>
  <c r="B18" i="27"/>
  <c r="E10" i="27"/>
  <c r="E11" i="27"/>
  <c r="E12" i="27"/>
  <c r="E13" i="27"/>
  <c r="E16" i="27"/>
  <c r="E17" i="27"/>
  <c r="E18" i="27"/>
  <c r="H20" i="32"/>
  <c r="E20" i="32"/>
  <c r="K19" i="32"/>
  <c r="F19" i="32"/>
  <c r="G19" i="32" s="1"/>
  <c r="D19" i="32"/>
  <c r="K18" i="32"/>
  <c r="F18" i="32"/>
  <c r="G18" i="32" s="1"/>
  <c r="D18" i="32"/>
  <c r="K17" i="32"/>
  <c r="F17" i="32"/>
  <c r="G17" i="32" s="1"/>
  <c r="I17" i="32" s="1"/>
  <c r="D17" i="32"/>
  <c r="K16" i="32"/>
  <c r="F16" i="32"/>
  <c r="G16" i="32" s="1"/>
  <c r="D16" i="32"/>
  <c r="K15" i="32"/>
  <c r="F15" i="32"/>
  <c r="G15" i="32" s="1"/>
  <c r="D15" i="32"/>
  <c r="K14" i="32"/>
  <c r="F14" i="32"/>
  <c r="G14" i="32" s="1"/>
  <c r="D14" i="32"/>
  <c r="K13" i="32"/>
  <c r="F13" i="32"/>
  <c r="G13" i="32" s="1"/>
  <c r="J13" i="32" s="1"/>
  <c r="D13" i="32"/>
  <c r="K12" i="32"/>
  <c r="F12" i="32"/>
  <c r="G12" i="32" s="1"/>
  <c r="D12" i="32"/>
  <c r="K11" i="32"/>
  <c r="F11" i="32"/>
  <c r="G11" i="32" s="1"/>
  <c r="D11" i="32"/>
  <c r="K10" i="32"/>
  <c r="F10" i="32"/>
  <c r="G10" i="32" s="1"/>
  <c r="D10" i="32"/>
  <c r="K9" i="32"/>
  <c r="F9" i="32"/>
  <c r="G9" i="32" s="1"/>
  <c r="I9" i="32" s="1"/>
  <c r="D9" i="32"/>
  <c r="K8" i="32"/>
  <c r="F8" i="32"/>
  <c r="G8" i="32" s="1"/>
  <c r="D8" i="32"/>
  <c r="K7" i="32"/>
  <c r="F7" i="32"/>
  <c r="G7" i="32" s="1"/>
  <c r="D7" i="32"/>
  <c r="F6" i="32"/>
  <c r="D6" i="32"/>
  <c r="L6" i="32" s="1"/>
  <c r="I28" i="31"/>
  <c r="E28" i="31"/>
  <c r="F26" i="31"/>
  <c r="G26" i="31" s="1"/>
  <c r="K26" i="31" s="1"/>
  <c r="D26" i="31"/>
  <c r="F25" i="31"/>
  <c r="G25" i="31" s="1"/>
  <c r="K25" i="31" s="1"/>
  <c r="D25" i="31"/>
  <c r="F24" i="31"/>
  <c r="G24" i="31" s="1"/>
  <c r="K24" i="31" s="1"/>
  <c r="D24" i="31"/>
  <c r="F23" i="31"/>
  <c r="G23" i="31" s="1"/>
  <c r="D23" i="31"/>
  <c r="F22" i="31"/>
  <c r="G22" i="31" s="1"/>
  <c r="K22" i="31" s="1"/>
  <c r="D22" i="31"/>
  <c r="F21" i="31"/>
  <c r="G21" i="31" s="1"/>
  <c r="K21" i="31" s="1"/>
  <c r="D21" i="31"/>
  <c r="F20" i="31"/>
  <c r="G20" i="31" s="1"/>
  <c r="K20" i="31" s="1"/>
  <c r="D20" i="31"/>
  <c r="F19" i="31"/>
  <c r="G19" i="31" s="1"/>
  <c r="D19" i="31"/>
  <c r="F18" i="31"/>
  <c r="G18" i="31" s="1"/>
  <c r="K18" i="31" s="1"/>
  <c r="D18" i="31"/>
  <c r="F17" i="31"/>
  <c r="G17" i="31" s="1"/>
  <c r="K17" i="31" s="1"/>
  <c r="D17" i="31"/>
  <c r="F16" i="31"/>
  <c r="G16" i="31" s="1"/>
  <c r="K16" i="31" s="1"/>
  <c r="D16" i="31"/>
  <c r="F15" i="31"/>
  <c r="G15" i="31" s="1"/>
  <c r="D15" i="31"/>
  <c r="F14" i="31"/>
  <c r="G14" i="31" s="1"/>
  <c r="K14" i="31" s="1"/>
  <c r="D14" i="31"/>
  <c r="F13" i="31"/>
  <c r="G13" i="31" s="1"/>
  <c r="K13" i="31" s="1"/>
  <c r="D13" i="31"/>
  <c r="F12" i="31"/>
  <c r="G12" i="31" s="1"/>
  <c r="K12" i="31" s="1"/>
  <c r="D12" i="31"/>
  <c r="F11" i="31"/>
  <c r="G11" i="31" s="1"/>
  <c r="D11" i="31"/>
  <c r="F10" i="31"/>
  <c r="G10" i="31" s="1"/>
  <c r="D10" i="31"/>
  <c r="F9" i="31"/>
  <c r="G9" i="31" s="1"/>
  <c r="D9" i="31"/>
  <c r="F8" i="31"/>
  <c r="G8" i="31" s="1"/>
  <c r="D8" i="31"/>
  <c r="F7" i="31"/>
  <c r="G7" i="31" s="1"/>
  <c r="D7" i="31"/>
  <c r="F6" i="31"/>
  <c r="G6" i="31" s="1"/>
  <c r="K6" i="31" s="1"/>
  <c r="D6" i="31"/>
  <c r="M6" i="31" s="1"/>
  <c r="K9" i="31" l="1"/>
  <c r="J9" i="31"/>
  <c r="K7" i="31"/>
  <c r="J7" i="31"/>
  <c r="J11" i="31"/>
  <c r="K11" i="31"/>
  <c r="J15" i="31"/>
  <c r="K15" i="31"/>
  <c r="J19" i="31"/>
  <c r="K19" i="31"/>
  <c r="J23" i="31"/>
  <c r="K23" i="31"/>
  <c r="J6" i="31"/>
  <c r="K10" i="31"/>
  <c r="J10" i="31"/>
  <c r="J8" i="31"/>
  <c r="K8" i="31"/>
  <c r="M12" i="31"/>
  <c r="M14" i="31"/>
  <c r="M20" i="31"/>
  <c r="M22" i="31"/>
  <c r="F20" i="32"/>
  <c r="D3" i="32" s="1"/>
  <c r="M17" i="31"/>
  <c r="M25" i="31"/>
  <c r="L9" i="32"/>
  <c r="L17" i="32"/>
  <c r="M9" i="31"/>
  <c r="L10" i="32"/>
  <c r="L12" i="32"/>
  <c r="L19" i="32"/>
  <c r="L11" i="32"/>
  <c r="M8" i="31"/>
  <c r="K20" i="32"/>
  <c r="L13" i="32"/>
  <c r="L18" i="32"/>
  <c r="M11" i="31"/>
  <c r="M15" i="31"/>
  <c r="M19" i="31"/>
  <c r="M23" i="31"/>
  <c r="M7" i="31"/>
  <c r="G10" i="27"/>
  <c r="G13" i="27"/>
  <c r="G16" i="27"/>
  <c r="G18" i="27"/>
  <c r="G12" i="27"/>
  <c r="G34" i="27"/>
  <c r="M18" i="31"/>
  <c r="M24" i="31"/>
  <c r="M26" i="31"/>
  <c r="L7" i="32"/>
  <c r="L15" i="32"/>
  <c r="L28" i="31"/>
  <c r="M10" i="31"/>
  <c r="M16" i="31"/>
  <c r="M13" i="31"/>
  <c r="M21" i="31"/>
  <c r="L8" i="32"/>
  <c r="L14" i="32"/>
  <c r="L16" i="32"/>
  <c r="G35" i="27"/>
  <c r="G31" i="27"/>
  <c r="G53" i="27"/>
  <c r="G55" i="27"/>
  <c r="G51" i="27"/>
  <c r="G54" i="27"/>
  <c r="G50" i="27"/>
  <c r="G63" i="27"/>
  <c r="G56" i="27"/>
  <c r="G52" i="27"/>
  <c r="G17" i="27"/>
  <c r="G14" i="27"/>
  <c r="G15" i="27"/>
  <c r="G38" i="27"/>
  <c r="G37" i="27"/>
  <c r="G33" i="27"/>
  <c r="G36" i="27"/>
  <c r="G32" i="27"/>
  <c r="G11" i="27"/>
  <c r="J11" i="32"/>
  <c r="I11" i="32"/>
  <c r="I8" i="32"/>
  <c r="J8" i="32"/>
  <c r="I10" i="32"/>
  <c r="J10" i="32"/>
  <c r="J7" i="32"/>
  <c r="I7" i="32"/>
  <c r="I15" i="32"/>
  <c r="J15" i="32"/>
  <c r="J12" i="32"/>
  <c r="I12" i="32"/>
  <c r="J14" i="32"/>
  <c r="I14" i="32"/>
  <c r="J19" i="32"/>
  <c r="I19" i="32"/>
  <c r="I18" i="32"/>
  <c r="J18" i="32"/>
  <c r="J16" i="32"/>
  <c r="I16" i="32"/>
  <c r="J9" i="32"/>
  <c r="J17" i="32"/>
  <c r="G6" i="32"/>
  <c r="I13" i="32"/>
  <c r="J20" i="31"/>
  <c r="J17" i="31"/>
  <c r="J14" i="31"/>
  <c r="J16" i="31"/>
  <c r="J22" i="31"/>
  <c r="J24" i="31"/>
  <c r="J13" i="31"/>
  <c r="J21" i="31"/>
  <c r="J12" i="31"/>
  <c r="J18" i="31"/>
  <c r="J26" i="31"/>
  <c r="G28" i="31"/>
  <c r="K28" i="31" s="1"/>
  <c r="J25" i="31"/>
  <c r="F28" i="31"/>
  <c r="D3" i="31" s="1"/>
  <c r="L20" i="32" l="1"/>
  <c r="J3" i="32" s="1"/>
  <c r="M28" i="31"/>
  <c r="K3" i="31" s="1"/>
  <c r="I6" i="32"/>
  <c r="I20" i="32" s="1"/>
  <c r="G20" i="32"/>
  <c r="J20" i="32" s="1"/>
  <c r="J6" i="32"/>
  <c r="J28" i="31"/>
  <c r="D67" i="27" l="1"/>
  <c r="B44" i="27" l="1"/>
  <c r="G44" i="27" s="1"/>
  <c r="E24" i="27" l="1"/>
  <c r="E39" i="27" s="1"/>
  <c r="G3" i="27" s="1"/>
  <c r="E9" i="27"/>
  <c r="D64" i="27" l="1"/>
  <c r="B26" i="27" l="1"/>
  <c r="G26" i="27" s="1"/>
  <c r="B27" i="27"/>
  <c r="G27" i="27" s="1"/>
  <c r="B28" i="27"/>
  <c r="G28" i="27" s="1"/>
  <c r="B29" i="27"/>
  <c r="G29" i="27" s="1"/>
  <c r="B30" i="27"/>
  <c r="G30" i="27" s="1"/>
  <c r="B24" i="27"/>
  <c r="G24" i="27" s="1"/>
  <c r="B25" i="27"/>
  <c r="G25" i="27" s="1"/>
  <c r="B9" i="27"/>
  <c r="C19" i="27" l="1"/>
  <c r="D19" i="27"/>
  <c r="F19" i="27"/>
  <c r="D39" i="27"/>
  <c r="D66" i="27" s="1"/>
  <c r="C39" i="27"/>
  <c r="D73" i="27" l="1"/>
  <c r="B39" i="27"/>
  <c r="B19" i="27" l="1"/>
  <c r="E19" i="27"/>
  <c r="G9" i="27"/>
  <c r="G19" i="27" l="1"/>
  <c r="B49" i="27" l="1"/>
  <c r="G49" i="27" s="1"/>
  <c r="B48" i="27" l="1"/>
  <c r="G48" i="27" s="1"/>
  <c r="B46" i="27"/>
  <c r="G46" i="27" s="1"/>
  <c r="B47" i="27"/>
  <c r="G47" i="27" s="1"/>
  <c r="B45" i="27"/>
  <c r="G45" i="27" s="1"/>
  <c r="C64" i="27" l="1"/>
  <c r="C66" i="27" s="1"/>
  <c r="C73" i="27" s="1"/>
  <c r="B43" i="27"/>
  <c r="B64" i="27" l="1"/>
  <c r="B66" i="27" s="1"/>
  <c r="B73" i="27" s="1"/>
  <c r="G43" i="27"/>
  <c r="F64" i="27"/>
  <c r="F67" i="27" l="1"/>
  <c r="F69" i="27" s="1"/>
  <c r="E64" i="27"/>
  <c r="G4" i="27" s="1"/>
  <c r="G5" i="27" s="1"/>
  <c r="G64" i="27"/>
  <c r="F66" i="27"/>
  <c r="F73" i="27" s="1"/>
  <c r="D69" i="27"/>
  <c r="C67" i="27"/>
  <c r="C69" i="27" s="1"/>
  <c r="E67" i="27" l="1"/>
  <c r="E69" i="27" s="1"/>
  <c r="E66" i="27"/>
  <c r="E73" i="27" s="1"/>
  <c r="G39" i="27"/>
  <c r="G66" i="27" s="1"/>
  <c r="G73" i="27" s="1"/>
  <c r="G67" i="27"/>
  <c r="G69" i="27" s="1"/>
  <c r="B67" i="27"/>
  <c r="B69" i="27" s="1"/>
</calcChain>
</file>

<file path=xl/comments1.xml><?xml version="1.0" encoding="utf-8"?>
<comments xmlns="http://schemas.openxmlformats.org/spreadsheetml/2006/main">
  <authors>
    <author>Roger Helmer</author>
    <author>Note</author>
  </authors>
  <commentList>
    <comment ref="E3" authorId="0" shapeId="0">
      <text>
        <r>
          <rPr>
            <b/>
            <sz val="9"/>
            <color indexed="81"/>
            <rFont val="Tahoma"/>
            <family val="2"/>
          </rPr>
          <t xml:space="preserve">Note:
</t>
        </r>
        <r>
          <rPr>
            <sz val="9"/>
            <color indexed="81"/>
            <rFont val="Tahoma"/>
            <family val="2"/>
          </rPr>
          <t xml:space="preserve">The total amount  budgeted for the current fiscal year.
</t>
        </r>
      </text>
    </comment>
    <comment ref="B5" authorId="1" shapeId="0">
      <text>
        <r>
          <rPr>
            <b/>
            <sz val="10"/>
            <color indexed="81"/>
            <rFont val="Tahoma"/>
            <family val="2"/>
          </rPr>
          <t>Note:</t>
        </r>
        <r>
          <rPr>
            <sz val="10"/>
            <color indexed="81"/>
            <rFont val="Tahoma"/>
            <family val="2"/>
          </rPr>
          <t xml:space="preserve">
Replacement Cost: cost to replace or update item at end of its useful life.</t>
        </r>
      </text>
    </comment>
    <comment ref="C5" authorId="1" shapeId="0">
      <text>
        <r>
          <rPr>
            <b/>
            <sz val="10"/>
            <color indexed="81"/>
            <rFont val="Tahoma"/>
            <family val="2"/>
          </rPr>
          <t>Note:</t>
        </r>
        <r>
          <rPr>
            <sz val="10"/>
            <color indexed="81"/>
            <rFont val="Tahoma"/>
            <family val="2"/>
          </rPr>
          <t xml:space="preserve">
Ratio of a reserve items cost to the total cost of all reserve items.</t>
        </r>
      </text>
    </comment>
    <comment ref="D5" authorId="0" shapeId="0">
      <text>
        <r>
          <rPr>
            <b/>
            <sz val="9"/>
            <color indexed="81"/>
            <rFont val="Tahoma"/>
            <family val="2"/>
          </rPr>
          <t>Note:
Reserve item budgeted amount per ratio of total budget.</t>
        </r>
        <r>
          <rPr>
            <sz val="9"/>
            <color indexed="81"/>
            <rFont val="Tahoma"/>
            <family val="2"/>
          </rPr>
          <t xml:space="preserve">
</t>
        </r>
      </text>
    </comment>
    <comment ref="A6" authorId="1" shapeId="0">
      <text>
        <r>
          <rPr>
            <b/>
            <sz val="10"/>
            <color indexed="81"/>
            <rFont val="Tahoma"/>
            <family val="2"/>
          </rPr>
          <t>Note:</t>
        </r>
        <r>
          <rPr>
            <sz val="10"/>
            <color indexed="81"/>
            <rFont val="Tahoma"/>
            <family val="2"/>
          </rPr>
          <t xml:space="preserve">
Insurance Deductible Amount should be covered within 5 years.</t>
        </r>
      </text>
    </comment>
  </commentList>
</comments>
</file>

<file path=xl/comments2.xml><?xml version="1.0" encoding="utf-8"?>
<comments xmlns="http://schemas.openxmlformats.org/spreadsheetml/2006/main">
  <authors>
    <author>Roger Helmer</author>
  </authors>
  <commentList>
    <comment ref="B3" authorId="0" shapeId="0">
      <text>
        <r>
          <rPr>
            <b/>
            <sz val="9"/>
            <color indexed="81"/>
            <rFont val="Tahoma"/>
            <family val="2"/>
          </rPr>
          <t>Enter year date only.</t>
        </r>
        <r>
          <rPr>
            <sz val="9"/>
            <color indexed="81"/>
            <rFont val="Tahoma"/>
            <family val="2"/>
          </rPr>
          <t xml:space="preserve">
</t>
        </r>
      </text>
    </comment>
    <comment ref="G3" authorId="0" shapeId="0">
      <text>
        <r>
          <rPr>
            <b/>
            <sz val="9"/>
            <color indexed="81"/>
            <rFont val="Tahoma"/>
            <family val="2"/>
          </rPr>
          <t>Per unit monthly amount will be entered automatically.</t>
        </r>
        <r>
          <rPr>
            <sz val="9"/>
            <color indexed="81"/>
            <rFont val="Tahoma"/>
            <family val="2"/>
          </rPr>
          <t xml:space="preserve">
</t>
        </r>
      </text>
    </comment>
    <comment ref="B4" authorId="0" shapeId="0">
      <text>
        <r>
          <rPr>
            <b/>
            <sz val="9"/>
            <color indexed="81"/>
            <rFont val="Tahoma"/>
            <family val="2"/>
          </rPr>
          <t>Enter year date only.</t>
        </r>
        <r>
          <rPr>
            <sz val="9"/>
            <color indexed="81"/>
            <rFont val="Tahoma"/>
            <family val="2"/>
          </rPr>
          <t xml:space="preserve">
</t>
        </r>
      </text>
    </comment>
    <comment ref="E4" authorId="0" shapeId="0">
      <text>
        <r>
          <rPr>
            <b/>
            <sz val="9"/>
            <color indexed="81"/>
            <rFont val="Tahoma"/>
            <family val="2"/>
          </rPr>
          <t xml:space="preserve">Examples:
</t>
        </r>
        <r>
          <rPr>
            <sz val="9"/>
            <color indexed="81"/>
            <rFont val="Tahoma"/>
            <family val="2"/>
          </rPr>
          <t xml:space="preserve">
Jan. thru Dec.  
Or
Jul. thru Jun.
Or
Oct. thru Sept.</t>
        </r>
      </text>
    </comment>
    <comment ref="G4" authorId="0" shapeId="0">
      <text>
        <r>
          <rPr>
            <b/>
            <sz val="9"/>
            <color indexed="81"/>
            <rFont val="Tahoma"/>
            <family val="2"/>
          </rPr>
          <t>Per unit monthly amount will be entered automatically.</t>
        </r>
        <r>
          <rPr>
            <sz val="9"/>
            <color indexed="81"/>
            <rFont val="Tahoma"/>
            <family val="2"/>
          </rPr>
          <t xml:space="preserve">
</t>
        </r>
      </text>
    </comment>
    <comment ref="G5" authorId="0" shapeId="0">
      <text>
        <r>
          <rPr>
            <b/>
            <sz val="9"/>
            <color indexed="81"/>
            <rFont val="Tahoma"/>
            <family val="2"/>
          </rPr>
          <t xml:space="preserve">Per unit monthly total amount will be entered automatically.
</t>
        </r>
      </text>
    </comment>
    <comment ref="A9" authorId="0" shapeId="0">
      <text>
        <r>
          <rPr>
            <b/>
            <sz val="9"/>
            <color indexed="81"/>
            <rFont val="Tahoma"/>
            <family val="2"/>
          </rPr>
          <t>Roger Helmer:</t>
        </r>
        <r>
          <rPr>
            <sz val="9"/>
            <color indexed="81"/>
            <rFont val="Tahoma"/>
            <family val="2"/>
          </rPr>
          <t xml:space="preserve">
</t>
        </r>
      </text>
    </comment>
    <comment ref="A42" authorId="0" shapeId="0">
      <text>
        <r>
          <rPr>
            <sz val="9"/>
            <color indexed="81"/>
            <rFont val="Tahoma"/>
            <family val="2"/>
          </rPr>
          <t xml:space="preserve">Complete RESERVE ANALYSIS first.
</t>
        </r>
      </text>
    </comment>
  </commentList>
</comments>
</file>

<file path=xl/comments3.xml><?xml version="1.0" encoding="utf-8"?>
<comments xmlns="http://schemas.openxmlformats.org/spreadsheetml/2006/main">
  <authors>
    <author>Roger Helmer</author>
  </authors>
  <commentList>
    <comment ref="B2" authorId="0" shapeId="0">
      <text>
        <r>
          <rPr>
            <b/>
            <sz val="9"/>
            <color indexed="81"/>
            <rFont val="Tahoma"/>
            <family val="2"/>
          </rPr>
          <t>Enter year date only.</t>
        </r>
        <r>
          <rPr>
            <sz val="9"/>
            <color indexed="81"/>
            <rFont val="Tahoma"/>
            <family val="2"/>
          </rPr>
          <t xml:space="preserve">
</t>
        </r>
      </text>
    </comment>
    <comment ref="G2" authorId="0" shapeId="0">
      <text>
        <r>
          <rPr>
            <b/>
            <sz val="9"/>
            <color indexed="81"/>
            <rFont val="Tahoma"/>
            <family val="2"/>
          </rPr>
          <t>Per unit monthly amount will be entered automatically.</t>
        </r>
        <r>
          <rPr>
            <sz val="9"/>
            <color indexed="81"/>
            <rFont val="Tahoma"/>
            <family val="2"/>
          </rPr>
          <t xml:space="preserve">
</t>
        </r>
      </text>
    </comment>
    <comment ref="B3" authorId="0" shapeId="0">
      <text>
        <r>
          <rPr>
            <b/>
            <sz val="9"/>
            <color indexed="81"/>
            <rFont val="Tahoma"/>
            <family val="2"/>
          </rPr>
          <t>Enter year date only.</t>
        </r>
        <r>
          <rPr>
            <sz val="9"/>
            <color indexed="81"/>
            <rFont val="Tahoma"/>
            <family val="2"/>
          </rPr>
          <t xml:space="preserve">
</t>
        </r>
      </text>
    </comment>
    <comment ref="E3" authorId="0" shapeId="0">
      <text>
        <r>
          <rPr>
            <b/>
            <sz val="9"/>
            <color indexed="81"/>
            <rFont val="Tahoma"/>
            <family val="2"/>
          </rPr>
          <t xml:space="preserve">Examples:
</t>
        </r>
        <r>
          <rPr>
            <sz val="9"/>
            <color indexed="81"/>
            <rFont val="Tahoma"/>
            <family val="2"/>
          </rPr>
          <t xml:space="preserve">
Jan. thru Dec.  
Or
Jul. thru Jun.
Or
Oct. thru Sept.</t>
        </r>
      </text>
    </comment>
    <comment ref="G3" authorId="0" shapeId="0">
      <text>
        <r>
          <rPr>
            <b/>
            <sz val="9"/>
            <color indexed="81"/>
            <rFont val="Tahoma"/>
            <family val="2"/>
          </rPr>
          <t>Per unit monthly amount will be entered automatically.</t>
        </r>
        <r>
          <rPr>
            <sz val="9"/>
            <color indexed="81"/>
            <rFont val="Tahoma"/>
            <family val="2"/>
          </rPr>
          <t xml:space="preserve">
</t>
        </r>
      </text>
    </comment>
    <comment ref="A41" authorId="0" shapeId="0">
      <text>
        <r>
          <rPr>
            <sz val="9"/>
            <color indexed="81"/>
            <rFont val="Tahoma"/>
            <family val="2"/>
          </rPr>
          <t xml:space="preserve">Complete RESERVE ANALYSIS first.
</t>
        </r>
      </text>
    </comment>
  </commentList>
</comments>
</file>

<file path=xl/comments4.xml><?xml version="1.0" encoding="utf-8"?>
<comments xmlns="http://schemas.openxmlformats.org/spreadsheetml/2006/main">
  <authors>
    <author>Note</author>
    <author>Roger</author>
    <author>Roger Helmer</author>
  </authors>
  <commentList>
    <comment ref="G1" authorId="0" shapeId="0">
      <text>
        <r>
          <rPr>
            <b/>
            <sz val="10"/>
            <color indexed="81"/>
            <rFont val="Tahoma"/>
            <family val="2"/>
          </rPr>
          <t xml:space="preserve">Examples:
</t>
        </r>
        <r>
          <rPr>
            <sz val="10"/>
            <color indexed="81"/>
            <rFont val="Tahoma"/>
            <family val="2"/>
          </rPr>
          <t xml:space="preserve">
Jan. thru Dec.  
Or
Jul. thru Jun.
Or
Oct. thru Sept.</t>
        </r>
      </text>
    </comment>
    <comment ref="D3" authorId="0" shapeId="0">
      <text>
        <r>
          <rPr>
            <b/>
            <sz val="10"/>
            <color indexed="81"/>
            <rFont val="Tahoma"/>
            <family val="2"/>
          </rPr>
          <t>Note:</t>
        </r>
        <r>
          <rPr>
            <sz val="10"/>
            <color indexed="81"/>
            <rFont val="Tahoma"/>
            <family val="2"/>
          </rPr>
          <t xml:space="preserve">
This amount represents the initial monthly dues required to fund replacement of the Reserve Items 100% at the end of their useful life as established by the original Reserve Study.</t>
        </r>
      </text>
    </comment>
    <comment ref="K3" authorId="0" shapeId="0">
      <text>
        <r>
          <rPr>
            <b/>
            <sz val="10"/>
            <color indexed="81"/>
            <rFont val="Tahoma"/>
            <family val="2"/>
          </rPr>
          <t>Note:</t>
        </r>
        <r>
          <rPr>
            <sz val="10"/>
            <color indexed="81"/>
            <rFont val="Tahoma"/>
            <family val="2"/>
          </rPr>
          <t xml:space="preserve">
This amount represents the monthly dues required to fund replacement of the Reserve Items 100% at the end of their useful life as established by this Reserve Analysis.
If higher than the Initial Monthly Reserve Dues amount, the Association has been paying lower Reserve Dues than needed to 100% fund the replacement cost of the Reserve Items.
A plan will need to be developed to address this issue and submitted to AHFC.
The plan may spread the increase in Reserve Dues  over five (5) years.</t>
        </r>
      </text>
    </comment>
    <comment ref="B6" authorId="1" shapeId="0">
      <text>
        <r>
          <rPr>
            <b/>
            <sz val="10"/>
            <color indexed="81"/>
            <rFont val="Tahoma"/>
            <family val="2"/>
          </rPr>
          <t xml:space="preserve">Note:
</t>
        </r>
        <r>
          <rPr>
            <sz val="10"/>
            <color indexed="81"/>
            <rFont val="Tahoma"/>
            <family val="2"/>
          </rPr>
          <t>Years item will be in use before it may need replacement.</t>
        </r>
        <r>
          <rPr>
            <sz val="9"/>
            <color indexed="81"/>
            <rFont val="Tahoma"/>
            <family val="2"/>
          </rPr>
          <t xml:space="preserve">
</t>
        </r>
      </text>
    </comment>
    <comment ref="C6" authorId="2" shapeId="0">
      <text>
        <r>
          <rPr>
            <b/>
            <sz val="10"/>
            <color indexed="81"/>
            <rFont val="Tahoma"/>
            <family val="2"/>
          </rPr>
          <t xml:space="preserve">Note:
</t>
        </r>
        <r>
          <rPr>
            <sz val="10"/>
            <color indexed="81"/>
            <rFont val="Tahoma"/>
            <family val="2"/>
          </rPr>
          <t xml:space="preserve">Enter Yrs. in use as of end of fiscal year.
</t>
        </r>
        <r>
          <rPr>
            <b/>
            <sz val="9"/>
            <color indexed="81"/>
            <rFont val="Tahoma"/>
            <family val="2"/>
          </rPr>
          <t xml:space="preserve">
</t>
        </r>
        <r>
          <rPr>
            <sz val="9"/>
            <color indexed="81"/>
            <rFont val="Tahoma"/>
            <family val="2"/>
          </rPr>
          <t>If Yrs. In Use</t>
        </r>
        <r>
          <rPr>
            <sz val="10"/>
            <color indexed="81"/>
            <rFont val="Tahoma"/>
            <family val="2"/>
          </rPr>
          <t xml:space="preserve"> exceeds Useful Life, then enter Useful Life.</t>
        </r>
        <r>
          <rPr>
            <sz val="9"/>
            <color indexed="81"/>
            <rFont val="Tahoma"/>
            <family val="2"/>
          </rPr>
          <t xml:space="preserve">
</t>
        </r>
      </text>
    </comment>
    <comment ref="D6" authorId="1" shapeId="0">
      <text>
        <r>
          <rPr>
            <b/>
            <sz val="10"/>
            <color indexed="81"/>
            <rFont val="Tahoma"/>
            <family val="2"/>
          </rPr>
          <t xml:space="preserve">Note: 
</t>
        </r>
        <r>
          <rPr>
            <sz val="10"/>
            <color indexed="81"/>
            <rFont val="Tahoma"/>
            <family val="2"/>
          </rPr>
          <t>Remaining life: years remaining before item scheduled to be replaced.</t>
        </r>
        <r>
          <rPr>
            <sz val="9"/>
            <color indexed="81"/>
            <rFont val="Tahoma"/>
            <family val="2"/>
          </rPr>
          <t xml:space="preserve">
</t>
        </r>
      </text>
    </comment>
    <comment ref="E6" authorId="0" shapeId="0">
      <text>
        <r>
          <rPr>
            <b/>
            <sz val="10"/>
            <color indexed="81"/>
            <rFont val="Tahoma"/>
            <family val="2"/>
          </rPr>
          <t>Note:</t>
        </r>
        <r>
          <rPr>
            <sz val="10"/>
            <color indexed="81"/>
            <rFont val="Tahoma"/>
            <family val="2"/>
          </rPr>
          <t xml:space="preserve">
Replacement Cost: cost to replace or update item at end of useful life.</t>
        </r>
      </text>
    </comment>
    <comment ref="F6" authorId="0" shapeId="0">
      <text>
        <r>
          <rPr>
            <b/>
            <sz val="10"/>
            <color indexed="81"/>
            <rFont val="Tahoma"/>
            <family val="2"/>
          </rPr>
          <t>Note:</t>
        </r>
        <r>
          <rPr>
            <sz val="10"/>
            <color indexed="81"/>
            <rFont val="Tahoma"/>
            <family val="2"/>
          </rPr>
          <t xml:space="preserve">
Amount established by initial reserve analysis to cover cost of item replacement at the end of its useful life.</t>
        </r>
      </text>
    </comment>
    <comment ref="G6" authorId="0" shapeId="0">
      <text>
        <r>
          <rPr>
            <b/>
            <sz val="10"/>
            <color indexed="81"/>
            <rFont val="Tahoma"/>
            <family val="2"/>
          </rPr>
          <t>Note:</t>
        </r>
        <r>
          <rPr>
            <sz val="10"/>
            <color indexed="81"/>
            <rFont val="Tahoma"/>
            <family val="2"/>
          </rPr>
          <t xml:space="preserve">
Amount to have been collected to cover cost of replacing items at end of their useful life </t>
        </r>
        <r>
          <rPr>
            <b/>
            <sz val="10"/>
            <color indexed="81"/>
            <rFont val="Tahoma"/>
            <family val="2"/>
          </rPr>
          <t>AS OF THE END OF THE FISCAL YEAR.</t>
        </r>
      </text>
    </comment>
    <comment ref="I6" authorId="0" shapeId="0">
      <text>
        <r>
          <rPr>
            <b/>
            <sz val="10"/>
            <color indexed="81"/>
            <rFont val="Tahoma"/>
            <family val="2"/>
          </rPr>
          <t>Note:</t>
        </r>
        <r>
          <rPr>
            <sz val="10"/>
            <color indexed="81"/>
            <rFont val="Tahoma"/>
            <family val="2"/>
          </rPr>
          <t xml:space="preserve">
Amount of Reserve Funds in bank account at beginning of present fiscal year.
Usually in a savings account or CD.
These funds must be separate from operating funds, and not used for general operating expenses.</t>
        </r>
      </text>
    </comment>
    <comment ref="J6" authorId="0" shapeId="0">
      <text>
        <r>
          <rPr>
            <b/>
            <sz val="10"/>
            <color indexed="81"/>
            <rFont val="Tahoma"/>
            <family val="2"/>
          </rPr>
          <t xml:space="preserve">Note:
</t>
        </r>
        <r>
          <rPr>
            <sz val="10"/>
            <color indexed="81"/>
            <rFont val="Tahoma"/>
            <family val="2"/>
          </rPr>
          <t xml:space="preserve">As of Date of Analysis -
If a number is </t>
        </r>
        <r>
          <rPr>
            <b/>
            <sz val="10"/>
            <color indexed="10"/>
            <rFont val="Tahoma"/>
            <family val="2"/>
          </rPr>
          <t>RED</t>
        </r>
        <r>
          <rPr>
            <sz val="10"/>
            <color indexed="81"/>
            <rFont val="Tahoma"/>
            <family val="2"/>
          </rPr>
          <t xml:space="preserve">, the Monthly Reserve Dues for this Item have been less then it should have been to fund its replacement 100% at the end of its useful life. It has been under funded. </t>
        </r>
      </text>
    </comment>
    <comment ref="K6" authorId="0" shapeId="0">
      <text>
        <r>
          <rPr>
            <b/>
            <sz val="10"/>
            <color indexed="81"/>
            <rFont val="Tahoma"/>
            <family val="2"/>
          </rPr>
          <t>Note:</t>
        </r>
        <r>
          <rPr>
            <sz val="10"/>
            <color indexed="81"/>
            <rFont val="Tahoma"/>
            <family val="2"/>
          </rPr>
          <t xml:space="preserve">
Percent Actual Reserve Funds/Budgeted is of Required Reserves Amount. 
Percent Funded at 100% is what we encourage.
This will usually eliminate the need for special assesments and increase the value of the units. 
The closer to 100% funded, the more secure the Association is financially, which makes for a positive sales position.
</t>
        </r>
      </text>
    </comment>
    <comment ref="L6" authorId="0" shapeId="0">
      <text>
        <r>
          <rPr>
            <b/>
            <sz val="10"/>
            <color indexed="81"/>
            <rFont val="Tahoma"/>
            <family val="2"/>
          </rPr>
          <t>Note:</t>
        </r>
        <r>
          <rPr>
            <sz val="10"/>
            <color indexed="81"/>
            <rFont val="Tahoma"/>
            <family val="2"/>
          </rPr>
          <t xml:space="preserve">
As of end of fiscal year -- remaining amount needed to cover cost of item replacement at end of its useful life.</t>
        </r>
      </text>
    </comment>
    <comment ref="M6" authorId="2" shapeId="0">
      <text>
        <r>
          <rPr>
            <b/>
            <sz val="9"/>
            <color indexed="81"/>
            <rFont val="Tahoma"/>
            <family val="2"/>
          </rPr>
          <t xml:space="preserve">Note:
</t>
        </r>
        <r>
          <rPr>
            <sz val="9"/>
            <color indexed="81"/>
            <rFont val="Tahoma"/>
            <family val="2"/>
          </rPr>
          <t xml:space="preserve">Amount that should be budgeted for reserve replacement.
</t>
        </r>
      </text>
    </comment>
    <comment ref="A7" authorId="0" shapeId="0">
      <text>
        <r>
          <rPr>
            <b/>
            <sz val="10"/>
            <color indexed="81"/>
            <rFont val="Tahoma"/>
            <family val="2"/>
          </rPr>
          <t>Note:</t>
        </r>
        <r>
          <rPr>
            <sz val="10"/>
            <color indexed="81"/>
            <rFont val="Tahoma"/>
            <family val="2"/>
          </rPr>
          <t xml:space="preserve">
Insurance Deductible Amount should be covered within 5 years.</t>
        </r>
      </text>
    </comment>
  </commentList>
</comments>
</file>

<file path=xl/comments5.xml><?xml version="1.0" encoding="utf-8"?>
<comments xmlns="http://schemas.openxmlformats.org/spreadsheetml/2006/main">
  <authors>
    <author>Note</author>
    <author>Roger</author>
    <author>Roger Helmer</author>
  </authors>
  <commentList>
    <comment ref="G1" authorId="0" shapeId="0">
      <text>
        <r>
          <rPr>
            <b/>
            <sz val="10"/>
            <color indexed="81"/>
            <rFont val="Tahoma"/>
            <family val="2"/>
          </rPr>
          <t xml:space="preserve">Examples:
</t>
        </r>
        <r>
          <rPr>
            <sz val="10"/>
            <color indexed="81"/>
            <rFont val="Tahoma"/>
            <family val="2"/>
          </rPr>
          <t xml:space="preserve">
Jan. thru Dec.  
Or
Jul. thru Jun.
Or
Oct. thru Sept.</t>
        </r>
      </text>
    </comment>
    <comment ref="D3" authorId="0" shapeId="0">
      <text>
        <r>
          <rPr>
            <b/>
            <sz val="10"/>
            <color indexed="81"/>
            <rFont val="Tahoma"/>
            <family val="2"/>
          </rPr>
          <t>Note:</t>
        </r>
        <r>
          <rPr>
            <sz val="10"/>
            <color indexed="81"/>
            <rFont val="Tahoma"/>
            <family val="2"/>
          </rPr>
          <t xml:space="preserve">
This amount represents the initial monthly dues required to fund replacement of the Reserve Items 100% at the end of their useful life as established by the original Reserve Study.</t>
        </r>
      </text>
    </comment>
    <comment ref="K3" authorId="0" shapeId="0">
      <text>
        <r>
          <rPr>
            <b/>
            <sz val="10"/>
            <color indexed="81"/>
            <rFont val="Tahoma"/>
            <family val="2"/>
          </rPr>
          <t>Note:</t>
        </r>
        <r>
          <rPr>
            <sz val="10"/>
            <color indexed="81"/>
            <rFont val="Tahoma"/>
            <family val="2"/>
          </rPr>
          <t xml:space="preserve">
This amount represents the monthly dues required to fund replacement of the Reserve Items 100% at the end of their useful life as established by this Reserve Analysis.
If higher than the Initial Monthly Reserve Dues amount, the Association has been paying lower Reserve Dues than needed to 100% fund the replacement cost of the Reserve Items.
A plan will need to be developed to address this issue and submitted to AHFC.
The plan may spread the increase in Reserve Dues  over five (5) years.</t>
        </r>
      </text>
    </comment>
    <comment ref="B5" authorId="1" shapeId="0">
      <text>
        <r>
          <rPr>
            <b/>
            <sz val="10"/>
            <color indexed="81"/>
            <rFont val="Tahoma"/>
            <family val="2"/>
          </rPr>
          <t xml:space="preserve">Note:
</t>
        </r>
        <r>
          <rPr>
            <sz val="10"/>
            <color indexed="81"/>
            <rFont val="Tahoma"/>
            <family val="2"/>
          </rPr>
          <t>Years item will be in use before it may need replacement.</t>
        </r>
        <r>
          <rPr>
            <sz val="9"/>
            <color indexed="81"/>
            <rFont val="Tahoma"/>
            <family val="2"/>
          </rPr>
          <t xml:space="preserve">
</t>
        </r>
      </text>
    </comment>
    <comment ref="C5" authorId="2" shapeId="0">
      <text>
        <r>
          <rPr>
            <b/>
            <sz val="10"/>
            <color indexed="81"/>
            <rFont val="Tahoma"/>
            <family val="2"/>
          </rPr>
          <t xml:space="preserve">Note:
</t>
        </r>
        <r>
          <rPr>
            <sz val="10"/>
            <color indexed="81"/>
            <rFont val="Tahoma"/>
            <family val="2"/>
          </rPr>
          <t xml:space="preserve">Enter Yrs. in use as of end of fiscal year.
</t>
        </r>
        <r>
          <rPr>
            <b/>
            <sz val="9"/>
            <color indexed="81"/>
            <rFont val="Tahoma"/>
            <family val="2"/>
          </rPr>
          <t xml:space="preserve">
</t>
        </r>
        <r>
          <rPr>
            <sz val="9"/>
            <color indexed="81"/>
            <rFont val="Tahoma"/>
            <family val="2"/>
          </rPr>
          <t>If Yrs. In Use</t>
        </r>
        <r>
          <rPr>
            <sz val="10"/>
            <color indexed="81"/>
            <rFont val="Tahoma"/>
            <family val="2"/>
          </rPr>
          <t xml:space="preserve"> exceeds Useful Life, then enter Useful Life.</t>
        </r>
        <r>
          <rPr>
            <sz val="9"/>
            <color indexed="81"/>
            <rFont val="Tahoma"/>
            <family val="2"/>
          </rPr>
          <t xml:space="preserve">
</t>
        </r>
      </text>
    </comment>
    <comment ref="D5" authorId="1" shapeId="0">
      <text>
        <r>
          <rPr>
            <b/>
            <sz val="10"/>
            <color indexed="81"/>
            <rFont val="Tahoma"/>
            <family val="2"/>
          </rPr>
          <t xml:space="preserve">Note: 
</t>
        </r>
        <r>
          <rPr>
            <sz val="10"/>
            <color indexed="81"/>
            <rFont val="Tahoma"/>
            <family val="2"/>
          </rPr>
          <t>Remaining life: years remaining before item scheduled to be replaced.</t>
        </r>
        <r>
          <rPr>
            <sz val="9"/>
            <color indexed="81"/>
            <rFont val="Tahoma"/>
            <family val="2"/>
          </rPr>
          <t xml:space="preserve">
</t>
        </r>
      </text>
    </comment>
    <comment ref="E5" authorId="0" shapeId="0">
      <text>
        <r>
          <rPr>
            <b/>
            <sz val="10"/>
            <color indexed="81"/>
            <rFont val="Tahoma"/>
            <family val="2"/>
          </rPr>
          <t>Note:</t>
        </r>
        <r>
          <rPr>
            <sz val="10"/>
            <color indexed="81"/>
            <rFont val="Tahoma"/>
            <family val="2"/>
          </rPr>
          <t xml:space="preserve">
Replacement Cost: cost to replace or update item at end of useful life.</t>
        </r>
      </text>
    </comment>
    <comment ref="F5" authorId="0" shapeId="0">
      <text>
        <r>
          <rPr>
            <b/>
            <sz val="10"/>
            <color indexed="81"/>
            <rFont val="Tahoma"/>
            <family val="2"/>
          </rPr>
          <t>Note:</t>
        </r>
        <r>
          <rPr>
            <sz val="10"/>
            <color indexed="81"/>
            <rFont val="Tahoma"/>
            <family val="2"/>
          </rPr>
          <t xml:space="preserve">
Amount established by initial reserve analysis to cover cost of item replacement at the end of its useful life.</t>
        </r>
      </text>
    </comment>
    <comment ref="G5" authorId="0" shapeId="0">
      <text>
        <r>
          <rPr>
            <b/>
            <sz val="10"/>
            <color indexed="81"/>
            <rFont val="Tahoma"/>
            <family val="2"/>
          </rPr>
          <t>Note:</t>
        </r>
        <r>
          <rPr>
            <sz val="10"/>
            <color indexed="81"/>
            <rFont val="Tahoma"/>
            <family val="2"/>
          </rPr>
          <t xml:space="preserve">
Amount to have been collected to cover cost of replacing items at end of their useful life </t>
        </r>
        <r>
          <rPr>
            <b/>
            <sz val="10"/>
            <color indexed="81"/>
            <rFont val="Tahoma"/>
            <family val="2"/>
          </rPr>
          <t>AS OF THE END OF THE FISCAL YEAR.</t>
        </r>
      </text>
    </comment>
    <comment ref="I5" authorId="0" shapeId="0">
      <text>
        <r>
          <rPr>
            <b/>
            <sz val="10"/>
            <color indexed="81"/>
            <rFont val="Tahoma"/>
            <family val="2"/>
          </rPr>
          <t>Note:</t>
        </r>
        <r>
          <rPr>
            <sz val="10"/>
            <color indexed="81"/>
            <rFont val="Tahoma"/>
            <family val="2"/>
          </rPr>
          <t xml:space="preserve">
Amount of Reserve Funds in bank account at beginning of present fiscal year.
Usually in a savings account or CD.
These funds must be separate from operating funds, and not used for general operating expenses.</t>
        </r>
      </text>
    </comment>
    <comment ref="J5" authorId="0" shapeId="0">
      <text>
        <r>
          <rPr>
            <b/>
            <sz val="10"/>
            <color indexed="81"/>
            <rFont val="Tahoma"/>
            <family val="2"/>
          </rPr>
          <t xml:space="preserve">Note:
</t>
        </r>
        <r>
          <rPr>
            <sz val="10"/>
            <color indexed="81"/>
            <rFont val="Tahoma"/>
            <family val="2"/>
          </rPr>
          <t xml:space="preserve">As of Date of Analysis -
If a number is </t>
        </r>
        <r>
          <rPr>
            <b/>
            <sz val="10"/>
            <color indexed="10"/>
            <rFont val="Tahoma"/>
            <family val="2"/>
          </rPr>
          <t>RED</t>
        </r>
        <r>
          <rPr>
            <sz val="10"/>
            <color indexed="81"/>
            <rFont val="Tahoma"/>
            <family val="2"/>
          </rPr>
          <t xml:space="preserve">, the Monthly Reserve Dues for this Item have been less then it should have been to fund its replacement 100% at the end of its useful life. It has been under funded. </t>
        </r>
      </text>
    </comment>
    <comment ref="K5" authorId="0" shapeId="0">
      <text>
        <r>
          <rPr>
            <b/>
            <sz val="10"/>
            <color indexed="81"/>
            <rFont val="Tahoma"/>
            <family val="2"/>
          </rPr>
          <t>Note:</t>
        </r>
        <r>
          <rPr>
            <sz val="10"/>
            <color indexed="81"/>
            <rFont val="Tahoma"/>
            <family val="2"/>
          </rPr>
          <t xml:space="preserve">
Percent Actual Reserve Funds/Budgeted is of Required Reserves Amount. 
Percent Funded at 100% is what we encourage.
This will usually eliminate the need for special assesments and increase the value of the units. 
The closer to 100% funded, the more secure the Association is financially, which makes for a positive sales position.
</t>
        </r>
      </text>
    </comment>
    <comment ref="L5" authorId="0" shapeId="0">
      <text>
        <r>
          <rPr>
            <b/>
            <sz val="10"/>
            <color indexed="81"/>
            <rFont val="Tahoma"/>
            <family val="2"/>
          </rPr>
          <t>Note:</t>
        </r>
        <r>
          <rPr>
            <sz val="10"/>
            <color indexed="81"/>
            <rFont val="Tahoma"/>
            <family val="2"/>
          </rPr>
          <t xml:space="preserve">
As of end of fiscal year -- remaining amount needed to cover cost of item replacement at end of its useful life.</t>
        </r>
      </text>
    </comment>
    <comment ref="M5" authorId="2" shapeId="0">
      <text>
        <r>
          <rPr>
            <b/>
            <sz val="9"/>
            <color indexed="81"/>
            <rFont val="Tahoma"/>
            <family val="2"/>
          </rPr>
          <t xml:space="preserve">Note:
</t>
        </r>
        <r>
          <rPr>
            <sz val="9"/>
            <color indexed="81"/>
            <rFont val="Tahoma"/>
            <family val="2"/>
          </rPr>
          <t xml:space="preserve">Amount that should be budgeted for reserve replacement.
</t>
        </r>
      </text>
    </comment>
    <comment ref="A6" authorId="0" shapeId="0">
      <text>
        <r>
          <rPr>
            <b/>
            <sz val="10"/>
            <color indexed="81"/>
            <rFont val="Tahoma"/>
            <family val="2"/>
          </rPr>
          <t>Note:</t>
        </r>
        <r>
          <rPr>
            <sz val="10"/>
            <color indexed="81"/>
            <rFont val="Tahoma"/>
            <family val="2"/>
          </rPr>
          <t xml:space="preserve">
Insurance Deductible Amount should be covered within 5 years.</t>
        </r>
      </text>
    </comment>
  </commentList>
</comments>
</file>

<file path=xl/comments6.xml><?xml version="1.0" encoding="utf-8"?>
<comments xmlns="http://schemas.openxmlformats.org/spreadsheetml/2006/main">
  <authors>
    <author>Note</author>
    <author>Roger</author>
    <author>Roger Helmer</author>
  </authors>
  <commentList>
    <comment ref="G1" authorId="0" shapeId="0">
      <text>
        <r>
          <rPr>
            <b/>
            <sz val="10"/>
            <color indexed="81"/>
            <rFont val="Tahoma"/>
            <family val="2"/>
          </rPr>
          <t xml:space="preserve">Note:  </t>
        </r>
        <r>
          <rPr>
            <sz val="10"/>
            <color indexed="81"/>
            <rFont val="Tahoma"/>
            <family val="2"/>
          </rPr>
          <t>Example:
Jan. thru Dec.  
Or
Jul. thru Jun.
Or
Oct. thru Sept.</t>
        </r>
      </text>
    </comment>
    <comment ref="D3" authorId="0" shapeId="0">
      <text>
        <r>
          <rPr>
            <b/>
            <sz val="10"/>
            <color indexed="81"/>
            <rFont val="Tahoma"/>
            <family val="2"/>
          </rPr>
          <t>Note:</t>
        </r>
        <r>
          <rPr>
            <sz val="10"/>
            <color indexed="81"/>
            <rFont val="Tahoma"/>
            <family val="2"/>
          </rPr>
          <t xml:space="preserve">
This amount represents the initial monthly dues required to fund replacement of the Reserve Items 100% at the end of their useful life as established by the original Reserve Analysis.</t>
        </r>
      </text>
    </comment>
    <comment ref="J3" authorId="0" shapeId="0">
      <text>
        <r>
          <rPr>
            <b/>
            <sz val="10"/>
            <color indexed="81"/>
            <rFont val="Tahoma"/>
            <family val="2"/>
          </rPr>
          <t>Note:</t>
        </r>
        <r>
          <rPr>
            <sz val="10"/>
            <color indexed="81"/>
            <rFont val="Tahoma"/>
            <family val="2"/>
          </rPr>
          <t xml:space="preserve">
This amount represents the monthly dues required to fund replacement of the Reserve Items 100% at the end of their useful life as established by this Reserve Analysis.
If higher than the Initial Monthly Reserve Dues amount, the Association has been paying lower Reserve Dues than needed to 100% fund the replacement cost of the Reserve Items.
A plan will need to be developed to address this issue and submitted to AHFC.
The plan may spread the increase in Reserve Dues  over five (5) years.</t>
        </r>
      </text>
    </comment>
    <comment ref="B5" authorId="1" shapeId="0">
      <text>
        <r>
          <rPr>
            <b/>
            <sz val="10"/>
            <color indexed="81"/>
            <rFont val="Tahoma"/>
            <family val="2"/>
          </rPr>
          <t xml:space="preserve">Note:
</t>
        </r>
        <r>
          <rPr>
            <sz val="10"/>
            <color indexed="81"/>
            <rFont val="Tahoma"/>
            <family val="2"/>
          </rPr>
          <t>Years item will be in use before it may need replacement.</t>
        </r>
        <r>
          <rPr>
            <sz val="9"/>
            <color indexed="81"/>
            <rFont val="Tahoma"/>
            <family val="2"/>
          </rPr>
          <t xml:space="preserve">
</t>
        </r>
      </text>
    </comment>
    <comment ref="C5" authorId="2" shapeId="0">
      <text>
        <r>
          <rPr>
            <b/>
            <sz val="10"/>
            <color indexed="81"/>
            <rFont val="Tahoma"/>
            <family val="2"/>
          </rPr>
          <t>Note:</t>
        </r>
        <r>
          <rPr>
            <b/>
            <sz val="9"/>
            <color indexed="81"/>
            <rFont val="Tahoma"/>
            <family val="2"/>
          </rPr>
          <t xml:space="preserve">
</t>
        </r>
        <r>
          <rPr>
            <sz val="9"/>
            <color indexed="81"/>
            <rFont val="Tahoma"/>
            <family val="2"/>
          </rPr>
          <t>If Yrs. In Use</t>
        </r>
        <r>
          <rPr>
            <sz val="10"/>
            <color indexed="81"/>
            <rFont val="Tahoma"/>
            <family val="2"/>
          </rPr>
          <t xml:space="preserve"> exceeds Useful Life, then enter Useful Life. .</t>
        </r>
        <r>
          <rPr>
            <sz val="9"/>
            <color indexed="81"/>
            <rFont val="Tahoma"/>
            <family val="2"/>
          </rPr>
          <t xml:space="preserve">
</t>
        </r>
      </text>
    </comment>
    <comment ref="D5" authorId="1" shapeId="0">
      <text>
        <r>
          <rPr>
            <b/>
            <sz val="10"/>
            <color indexed="81"/>
            <rFont val="Tahoma"/>
            <family val="2"/>
          </rPr>
          <t xml:space="preserve">Note: 
</t>
        </r>
        <r>
          <rPr>
            <sz val="10"/>
            <color indexed="81"/>
            <rFont val="Tahoma"/>
            <family val="2"/>
          </rPr>
          <t>Remaining life: years remaining before item scheduled to be replaced.</t>
        </r>
        <r>
          <rPr>
            <sz val="9"/>
            <color indexed="81"/>
            <rFont val="Tahoma"/>
            <family val="2"/>
          </rPr>
          <t xml:space="preserve">
</t>
        </r>
      </text>
    </comment>
    <comment ref="E5" authorId="0" shapeId="0">
      <text>
        <r>
          <rPr>
            <b/>
            <sz val="10"/>
            <color indexed="81"/>
            <rFont val="Tahoma"/>
            <family val="2"/>
          </rPr>
          <t>Note:</t>
        </r>
        <r>
          <rPr>
            <sz val="10"/>
            <color indexed="81"/>
            <rFont val="Tahoma"/>
            <family val="2"/>
          </rPr>
          <t xml:space="preserve">
Replacement Cost: cost to replace or update item at end of useful life.</t>
        </r>
      </text>
    </comment>
    <comment ref="F5" authorId="0" shapeId="0">
      <text>
        <r>
          <rPr>
            <b/>
            <sz val="10"/>
            <color indexed="81"/>
            <rFont val="Tahoma"/>
            <family val="2"/>
          </rPr>
          <t>Note:</t>
        </r>
        <r>
          <rPr>
            <sz val="10"/>
            <color indexed="81"/>
            <rFont val="Tahoma"/>
            <family val="2"/>
          </rPr>
          <t xml:space="preserve">
Amount established by initial reserve analysis to cover cost of item replacement at the end of its useful life.</t>
        </r>
      </text>
    </comment>
    <comment ref="G5" authorId="0" shapeId="0">
      <text>
        <r>
          <rPr>
            <b/>
            <sz val="10"/>
            <color indexed="81"/>
            <rFont val="Tahoma"/>
            <family val="2"/>
          </rPr>
          <t>Note:</t>
        </r>
        <r>
          <rPr>
            <sz val="10"/>
            <color indexed="81"/>
            <rFont val="Tahoma"/>
            <family val="2"/>
          </rPr>
          <t xml:space="preserve">
Amount to have been collected to cover cost of replacing items at end of their useful life.</t>
        </r>
      </text>
    </comment>
    <comment ref="H5" authorId="0" shapeId="0">
      <text>
        <r>
          <rPr>
            <b/>
            <sz val="10"/>
            <color indexed="81"/>
            <rFont val="Tahoma"/>
            <family val="2"/>
          </rPr>
          <t>Note:</t>
        </r>
        <r>
          <rPr>
            <sz val="10"/>
            <color indexed="81"/>
            <rFont val="Tahoma"/>
            <family val="2"/>
          </rPr>
          <t xml:space="preserve">
Amount of Reserve Funds in bank account as of Date of Analysis.
Usually in a savings account. 
These funds must be separated from operating funds, and not used for general expenses.</t>
        </r>
      </text>
    </comment>
    <comment ref="I5" authorId="0" shapeId="0">
      <text>
        <r>
          <rPr>
            <b/>
            <sz val="10"/>
            <color indexed="81"/>
            <rFont val="Tahoma"/>
            <family val="2"/>
          </rPr>
          <t xml:space="preserve">Note:
</t>
        </r>
        <r>
          <rPr>
            <sz val="10"/>
            <color indexed="81"/>
            <rFont val="Tahoma"/>
            <family val="2"/>
          </rPr>
          <t xml:space="preserve">As of Date of Analysis -
If a number is </t>
        </r>
        <r>
          <rPr>
            <b/>
            <sz val="10"/>
            <color indexed="10"/>
            <rFont val="Tahoma"/>
            <family val="2"/>
          </rPr>
          <t>RED</t>
        </r>
        <r>
          <rPr>
            <sz val="10"/>
            <color indexed="81"/>
            <rFont val="Tahoma"/>
            <family val="2"/>
          </rPr>
          <t xml:space="preserve">, the Monthly Reserve Dues for this Item has been less then it should have been to 100% fund its replacement at the end of its useful life. It has been under budgeted. </t>
        </r>
      </text>
    </comment>
    <comment ref="J5" authorId="0" shapeId="0">
      <text>
        <r>
          <rPr>
            <b/>
            <sz val="10"/>
            <color indexed="81"/>
            <rFont val="Tahoma"/>
            <family val="2"/>
          </rPr>
          <t>Note:</t>
        </r>
        <r>
          <rPr>
            <sz val="10"/>
            <color indexed="81"/>
            <rFont val="Tahoma"/>
            <family val="2"/>
          </rPr>
          <t xml:space="preserve">
Percent Actual Reserve Funds is of Required Reserves Amount. 
Percent Funded should be at 100%. This will usually eliminate the need for special assesments and increase the value of the units. 
The closer to 100% funded, the more secure the Association is financially, which makes for a positive sales position.</t>
        </r>
      </text>
    </comment>
    <comment ref="K5" authorId="0" shapeId="0">
      <text>
        <r>
          <rPr>
            <b/>
            <sz val="10"/>
            <color indexed="81"/>
            <rFont val="Tahoma"/>
            <family val="2"/>
          </rPr>
          <t>Note:</t>
        </r>
        <r>
          <rPr>
            <sz val="10"/>
            <color indexed="81"/>
            <rFont val="Tahoma"/>
            <family val="2"/>
          </rPr>
          <t xml:space="preserve">
Remaining amount needed to cover cost of item replacement at end of its useful life.</t>
        </r>
      </text>
    </comment>
  </commentList>
</comments>
</file>

<file path=xl/comments7.xml><?xml version="1.0" encoding="utf-8"?>
<comments xmlns="http://schemas.openxmlformats.org/spreadsheetml/2006/main">
  <authors>
    <author>Note</author>
    <author>Roger Helmer</author>
  </authors>
  <commentList>
    <comment ref="B5" authorId="0" shapeId="0">
      <text>
        <r>
          <rPr>
            <b/>
            <sz val="10"/>
            <color indexed="81"/>
            <rFont val="Tahoma"/>
            <family val="2"/>
          </rPr>
          <t>Note:</t>
        </r>
        <r>
          <rPr>
            <sz val="10"/>
            <color indexed="81"/>
            <rFont val="Tahoma"/>
            <family val="2"/>
          </rPr>
          <t xml:space="preserve">
Replacement Cost: cost to replace or update item at end of its useful life.</t>
        </r>
      </text>
    </comment>
    <comment ref="C5" authorId="0" shapeId="0">
      <text>
        <r>
          <rPr>
            <b/>
            <sz val="10"/>
            <color indexed="81"/>
            <rFont val="Tahoma"/>
            <family val="2"/>
          </rPr>
          <t>Note:</t>
        </r>
        <r>
          <rPr>
            <sz val="10"/>
            <color indexed="81"/>
            <rFont val="Tahoma"/>
            <family val="2"/>
          </rPr>
          <t xml:space="preserve">
Ratio of a reserve items cost to the total cost of all reserve items.</t>
        </r>
      </text>
    </comment>
    <comment ref="D5" authorId="1" shapeId="0">
      <text>
        <r>
          <rPr>
            <b/>
            <sz val="9"/>
            <color indexed="81"/>
            <rFont val="Tahoma"/>
            <family val="2"/>
          </rPr>
          <t>Note:
Reserve item budgeted amount per ratio of total budget.</t>
        </r>
        <r>
          <rPr>
            <sz val="9"/>
            <color indexed="81"/>
            <rFont val="Tahoma"/>
            <family val="2"/>
          </rPr>
          <t xml:space="preserve">
</t>
        </r>
      </text>
    </comment>
    <comment ref="A6" authorId="0" shapeId="0">
      <text>
        <r>
          <rPr>
            <b/>
            <sz val="10"/>
            <color indexed="81"/>
            <rFont val="Tahoma"/>
            <family val="2"/>
          </rPr>
          <t>Note:</t>
        </r>
        <r>
          <rPr>
            <sz val="10"/>
            <color indexed="81"/>
            <rFont val="Tahoma"/>
            <family val="2"/>
          </rPr>
          <t xml:space="preserve">
Insurance Deductible Amount should be covered within 5 years.</t>
        </r>
      </text>
    </comment>
  </commentList>
</comments>
</file>

<file path=xl/sharedStrings.xml><?xml version="1.0" encoding="utf-8"?>
<sst xmlns="http://schemas.openxmlformats.org/spreadsheetml/2006/main" count="270" uniqueCount="114">
  <si>
    <t xml:space="preserve"> </t>
  </si>
  <si>
    <t>Association Dues</t>
  </si>
  <si>
    <t>Total Expenses:</t>
  </si>
  <si>
    <t>Net Income:</t>
  </si>
  <si>
    <t>Date of Analysis:</t>
  </si>
  <si>
    <t>Subtotal Reserve Expenses:</t>
  </si>
  <si>
    <t>PRIOR BUDGET YEAR:</t>
  </si>
  <si>
    <t>CURRENT BUDGET YEAR:</t>
  </si>
  <si>
    <t>Name of Association:</t>
  </si>
  <si>
    <t>Fiscal Year:</t>
  </si>
  <si>
    <t>Number of Units:</t>
  </si>
  <si>
    <t>Date Approval Expires:</t>
  </si>
  <si>
    <t>Useful Life</t>
  </si>
  <si>
    <t>Replac. Cost</t>
  </si>
  <si>
    <t>Percent Funded</t>
  </si>
  <si>
    <t>Total:</t>
  </si>
  <si>
    <t># of Units:</t>
  </si>
  <si>
    <t>Date:</t>
  </si>
  <si>
    <t>Prior Monthly</t>
  </si>
  <si>
    <t>Prior Annual</t>
  </si>
  <si>
    <t>Prior Actual</t>
  </si>
  <si>
    <t>Current Monthly</t>
  </si>
  <si>
    <t>Current Annual</t>
  </si>
  <si>
    <t>Monthly  Change</t>
  </si>
  <si>
    <t>REVENUE:</t>
  </si>
  <si>
    <t>CONDO ASSOCIATION NAME:</t>
  </si>
  <si>
    <t>RESERVE EXPENSES:</t>
  </si>
  <si>
    <t>Monthly Change</t>
  </si>
  <si>
    <t>Management Fees</t>
  </si>
  <si>
    <t>OPERATING EXPENSES:</t>
  </si>
  <si>
    <t>Subtotal Operating Expenses:</t>
  </si>
  <si>
    <t>Initial Monthly Reserve Dues:</t>
  </si>
  <si>
    <r>
      <rPr>
        <b/>
        <sz val="10"/>
        <color rgb="FFFF0000"/>
        <rFont val="Franklin Gothic Book"/>
        <family val="2"/>
      </rPr>
      <t>**</t>
    </r>
    <r>
      <rPr>
        <b/>
        <sz val="10"/>
        <color theme="1"/>
        <rFont val="Franklin Gothic Book"/>
        <family val="2"/>
      </rPr>
      <t>Monthly Reserve Dues as of this Analysis:</t>
    </r>
  </si>
  <si>
    <t>Reserve Items</t>
  </si>
  <si>
    <t>Yrs. in Use</t>
  </si>
  <si>
    <t>Remain. Life</t>
  </si>
  <si>
    <t>Annual  Payment Amount</t>
  </si>
  <si>
    <t>Required Reserves</t>
  </si>
  <si>
    <t xml:space="preserve">Actual Reserves </t>
  </si>
  <si>
    <r>
      <t xml:space="preserve">Adequate / </t>
    </r>
    <r>
      <rPr>
        <b/>
        <sz val="10"/>
        <color rgb="FFFF0000"/>
        <rFont val="Franklin Gothic Book"/>
        <family val="2"/>
      </rPr>
      <t>(Shortage)</t>
    </r>
  </si>
  <si>
    <t xml:space="preserve">Amount to Fund Replac. </t>
  </si>
  <si>
    <t>Annual Replac. Cost</t>
  </si>
  <si>
    <t>INSURANCE DEDUCTIBLE</t>
  </si>
  <si>
    <r>
      <rPr>
        <b/>
        <sz val="12"/>
        <color rgb="FFFF0000"/>
        <rFont val="Franklin Gothic Book"/>
        <family val="2"/>
      </rPr>
      <t>**</t>
    </r>
    <r>
      <rPr>
        <b/>
        <sz val="12"/>
        <color theme="1"/>
        <rFont val="Franklin Gothic Book"/>
        <family val="2"/>
      </rPr>
      <t>Note: Monthly Reserve Dues Amount as of this Analysis --</t>
    </r>
    <r>
      <rPr>
        <sz val="12"/>
        <color theme="1"/>
        <rFont val="Franklin Gothic Book"/>
        <family val="2"/>
      </rPr>
      <t xml:space="preserve"> If this amount is greater than the </t>
    </r>
    <r>
      <rPr>
        <b/>
        <sz val="12"/>
        <color theme="1"/>
        <rFont val="Franklin Gothic Book"/>
        <family val="2"/>
      </rPr>
      <t>Initial Monthly Reserve Dues Amount</t>
    </r>
    <r>
      <rPr>
        <sz val="12"/>
        <color theme="1"/>
        <rFont val="Franklin Gothic Book"/>
        <family val="2"/>
      </rPr>
      <t xml:space="preserve">, the Association may not have been collecting sufficient Monthly Reserve Dues to fund the Reserve replacement Items 100%. This amount will need to be budgeted to bring the Reserves in line with the actual amount that should have been collected in order to fund the Reserve Items 100%. A plan to correct this situation must be developed and submitted to AHFC. </t>
    </r>
    <r>
      <rPr>
        <b/>
        <u/>
        <sz val="12"/>
        <color theme="1"/>
        <rFont val="Franklin Gothic Book"/>
        <family val="2"/>
      </rPr>
      <t>These increased costs can be spread over up to five (5) years</t>
    </r>
    <r>
      <rPr>
        <sz val="12"/>
        <color theme="1"/>
        <rFont val="Franklin Gothic Book"/>
        <family val="2"/>
      </rPr>
      <t xml:space="preserve">. </t>
    </r>
  </si>
  <si>
    <t>ASPHALT</t>
  </si>
  <si>
    <t>ROOFING</t>
  </si>
  <si>
    <t>Jan. thru Dec.</t>
  </si>
  <si>
    <t>Calculated</t>
  </si>
  <si>
    <t>Enter Data</t>
  </si>
  <si>
    <t>Date Acceptance Expires:</t>
  </si>
  <si>
    <r>
      <rPr>
        <b/>
        <sz val="12"/>
        <color rgb="FFFF0000"/>
        <rFont val="Franklin Gothic Book"/>
        <family val="2"/>
      </rPr>
      <t>**</t>
    </r>
    <r>
      <rPr>
        <b/>
        <sz val="12"/>
        <color theme="1"/>
        <rFont val="Franklin Gothic Book"/>
        <family val="2"/>
      </rPr>
      <t>Note: Monthly Reserve Dues Amount as of this Analysis --</t>
    </r>
    <r>
      <rPr>
        <sz val="12"/>
        <color theme="1"/>
        <rFont val="Franklin Gothic Book"/>
        <family val="2"/>
      </rPr>
      <t xml:space="preserve"> If this amount is greater than the </t>
    </r>
    <r>
      <rPr>
        <b/>
        <sz val="12"/>
        <color theme="1"/>
        <rFont val="Franklin Gothic Book"/>
        <family val="2"/>
      </rPr>
      <t>Initial Monthly Reserve Dues Amount</t>
    </r>
    <r>
      <rPr>
        <sz val="12"/>
        <color theme="1"/>
        <rFont val="Franklin Gothic Book"/>
        <family val="2"/>
      </rPr>
      <t xml:space="preserve">, the Association may not have been collecting sufficient Monthly Reserve Dues to fund the Reserve replacement Items 100%. This amount will need to be budgeted to bring the Reserves in line with the actual amount that should have been collected in order to fund the Reserve Items 100%. A plan to correct this situation must be developed and submitted to AHFC. </t>
    </r>
    <r>
      <rPr>
        <b/>
        <u/>
        <sz val="12"/>
        <color theme="1"/>
        <rFont val="Franklin Gothic Book"/>
        <family val="2"/>
      </rPr>
      <t>These increased costs can be spread out up to five (5) years</t>
    </r>
    <r>
      <rPr>
        <sz val="12"/>
        <color theme="1"/>
        <rFont val="Franklin Gothic Book"/>
        <family val="2"/>
      </rPr>
      <t xml:space="preserve">. </t>
    </r>
  </si>
  <si>
    <t>Example - Reserve Items Analysis</t>
  </si>
  <si>
    <t>PAINTING - EXTERIOR</t>
  </si>
  <si>
    <t>DECKING</t>
  </si>
  <si>
    <t>BOILERS</t>
  </si>
  <si>
    <t>FENCE</t>
  </si>
  <si>
    <t>Mthly Oper Dues:</t>
  </si>
  <si>
    <t>Mthly Total Dues:</t>
  </si>
  <si>
    <t>Total Revenue :</t>
  </si>
  <si>
    <t>Mthly Res Dues:</t>
  </si>
  <si>
    <t>.</t>
  </si>
  <si>
    <t>Insurance Deductible</t>
  </si>
  <si>
    <t>Example - Budget Analysis</t>
  </si>
  <si>
    <t>Roofing</t>
  </si>
  <si>
    <t>Asphalt</t>
  </si>
  <si>
    <t>Painting - Exterior</t>
  </si>
  <si>
    <t>Decking</t>
  </si>
  <si>
    <t>Boilers</t>
  </si>
  <si>
    <t>Fence</t>
  </si>
  <si>
    <t>Snow Removal</t>
  </si>
  <si>
    <t xml:space="preserve">Insurance </t>
  </si>
  <si>
    <t>Heating</t>
  </si>
  <si>
    <t>Maintenance - Building</t>
  </si>
  <si>
    <t>Maintenance - Grounds</t>
  </si>
  <si>
    <t>Water &amp; Sewer</t>
  </si>
  <si>
    <t>Refuse</t>
  </si>
  <si>
    <t>Miscellaneous</t>
  </si>
  <si>
    <r>
      <rPr>
        <sz val="12"/>
        <color rgb="FFFF0000"/>
        <rFont val="Arial"/>
        <family val="2"/>
      </rPr>
      <t xml:space="preserve"> </t>
    </r>
    <r>
      <rPr>
        <b/>
        <sz val="12"/>
        <color rgb="FFFF0000"/>
        <rFont val="Arial"/>
        <family val="2"/>
      </rPr>
      <t>PLEASE:</t>
    </r>
    <r>
      <rPr>
        <sz val="12"/>
        <rFont val="Arial"/>
        <family val="2"/>
      </rPr>
      <t xml:space="preserve"> </t>
    </r>
    <r>
      <rPr>
        <b/>
        <sz val="12"/>
        <color rgb="FFFF0000"/>
        <rFont val="Arial"/>
        <family val="2"/>
      </rPr>
      <t>PRINT THIS PAGE AND READ INSTRUCTIONS BEFORE CONTINUING</t>
    </r>
    <r>
      <rPr>
        <sz val="12"/>
        <rFont val="Arial"/>
        <family val="2"/>
      </rPr>
      <t xml:space="preserve">
</t>
    </r>
    <r>
      <rPr>
        <b/>
        <sz val="12"/>
        <color rgb="FFFF0000"/>
        <rFont val="Arial"/>
        <family val="2"/>
      </rPr>
      <t>First</t>
    </r>
    <r>
      <rPr>
        <sz val="12"/>
        <rFont val="Arial"/>
        <family val="2"/>
      </rPr>
      <t xml:space="preserve"> -- save this workbook with your Association's name, the correct fiscal year, and current date in the title of the file name before doing anything. For example if the fiscal year is 2020, your Association's name Paris, and the date is 12-16-19, then the title of the file would be: </t>
    </r>
    <r>
      <rPr>
        <b/>
        <sz val="12"/>
        <rFont val="Arial"/>
        <family val="2"/>
      </rPr>
      <t>Paris_Association_FY2020_</t>
    </r>
    <r>
      <rPr>
        <b/>
        <sz val="12"/>
        <color theme="1"/>
        <rFont val="Arial"/>
        <family val="2"/>
      </rPr>
      <t>Budget_and_Reserves_12-16-19</t>
    </r>
    <r>
      <rPr>
        <sz val="12"/>
        <rFont val="Arial"/>
        <family val="2"/>
      </rPr>
      <t xml:space="preserve">. </t>
    </r>
    <r>
      <rPr>
        <b/>
        <sz val="12"/>
        <color rgb="FFFF0000"/>
        <rFont val="Arial"/>
        <family val="2"/>
      </rPr>
      <t>Second</t>
    </r>
    <r>
      <rPr>
        <sz val="12"/>
        <rFont val="Arial"/>
        <family val="2"/>
      </rPr>
      <t xml:space="preserve"> -- the worksheets are protected. </t>
    </r>
    <r>
      <rPr>
        <b/>
        <sz val="12"/>
        <color rgb="FFFF0000"/>
        <rFont val="Arial"/>
        <family val="2"/>
      </rPr>
      <t>Third</t>
    </r>
    <r>
      <rPr>
        <sz val="12"/>
        <rFont val="Arial"/>
        <family val="2"/>
      </rPr>
      <t xml:space="preserve"> -- set Excel to SAVE the workbook every 5 minutes or less by selecting File, Options, Save, Save AutoRecover information every _</t>
    </r>
    <r>
      <rPr>
        <u/>
        <sz val="12"/>
        <rFont val="Arial"/>
        <family val="2"/>
      </rPr>
      <t>5</t>
    </r>
    <r>
      <rPr>
        <sz val="12"/>
        <rFont val="Arial"/>
        <family val="2"/>
      </rPr>
      <t xml:space="preserve">__ minutes. </t>
    </r>
    <r>
      <rPr>
        <b/>
        <sz val="12"/>
        <color rgb="FFFF0000"/>
        <rFont val="Arial"/>
        <family val="2"/>
      </rPr>
      <t>Fourth</t>
    </r>
    <r>
      <rPr>
        <sz val="12"/>
        <rFont val="Arial"/>
        <family val="2"/>
      </rPr>
      <t xml:space="preserve"> -- </t>
    </r>
    <r>
      <rPr>
        <b/>
        <sz val="12"/>
        <rFont val="Arial"/>
        <family val="2"/>
      </rPr>
      <t xml:space="preserve">If you need help contact Roger Helmer at: rhelmer@ahfc.us, or call: (907) 330-8429.
</t>
    </r>
    <r>
      <rPr>
        <sz val="12"/>
        <rFont val="Arial"/>
        <family val="2"/>
      </rPr>
      <t xml:space="preserve">
</t>
    </r>
    <r>
      <rPr>
        <b/>
        <sz val="12"/>
        <rFont val="Arial"/>
        <family val="2"/>
      </rPr>
      <t>The Budget Worksheet</t>
    </r>
    <r>
      <rPr>
        <sz val="12"/>
        <rFont val="Arial"/>
        <family val="2"/>
      </rPr>
      <t xml:space="preserve">: This worksheet uses three Excel Tables: </t>
    </r>
    <r>
      <rPr>
        <b/>
        <sz val="12"/>
        <rFont val="Arial"/>
        <family val="2"/>
      </rPr>
      <t>REVENUE</t>
    </r>
    <r>
      <rPr>
        <sz val="12"/>
        <rFont val="Arial"/>
        <family val="2"/>
      </rPr>
      <t xml:space="preserve">, </t>
    </r>
    <r>
      <rPr>
        <b/>
        <sz val="12"/>
        <rFont val="Arial"/>
        <family val="2"/>
      </rPr>
      <t>OPERATING EXPENSES</t>
    </r>
    <r>
      <rPr>
        <sz val="12"/>
        <rFont val="Arial"/>
        <family val="2"/>
      </rPr>
      <t xml:space="preserve">, and </t>
    </r>
    <r>
      <rPr>
        <b/>
        <sz val="12"/>
        <rFont val="Arial"/>
        <family val="2"/>
      </rPr>
      <t>RESERVE EXPENSES</t>
    </r>
    <r>
      <rPr>
        <sz val="12"/>
        <rFont val="Arial"/>
        <family val="2"/>
      </rPr>
      <t xml:space="preserve">. These tables are constructed to allow sufficient rows of data in each table. If additional rows are required, please contact: </t>
    </r>
    <r>
      <rPr>
        <b/>
        <sz val="12"/>
        <rFont val="Arial"/>
        <family val="2"/>
      </rPr>
      <t>Roger Helmer at: rhelmer@ahfc.us, or call: (907) 330-8429</t>
    </r>
    <r>
      <rPr>
        <sz val="12"/>
        <rFont val="Arial"/>
        <family val="2"/>
      </rPr>
      <t xml:space="preserve">. 
Start with the </t>
    </r>
    <r>
      <rPr>
        <b/>
        <sz val="12"/>
        <rFont val="Arial"/>
        <family val="2"/>
      </rPr>
      <t>RESERVE ANALYSIS</t>
    </r>
    <r>
      <rPr>
        <sz val="12"/>
        <rFont val="Arial"/>
        <family val="2"/>
      </rPr>
      <t xml:space="preserve"> worksheet and complete that before completing the </t>
    </r>
    <r>
      <rPr>
        <b/>
        <sz val="12"/>
        <rFont val="Arial"/>
        <family val="2"/>
      </rPr>
      <t xml:space="preserve">BUDGET </t>
    </r>
    <r>
      <rPr>
        <sz val="12"/>
        <rFont val="Arial"/>
        <family val="2"/>
      </rPr>
      <t xml:space="preserve">worksheet's tables.
Cells with a </t>
    </r>
    <r>
      <rPr>
        <sz val="12"/>
        <color rgb="FFFF0000"/>
        <rFont val="Arial"/>
        <family val="2"/>
      </rPr>
      <t>red triangle</t>
    </r>
    <r>
      <rPr>
        <sz val="12"/>
        <rFont val="Arial"/>
        <family val="2"/>
      </rPr>
      <t xml:space="preserve"> in the upper right hand corner contain comments. Just place your cursor on the cell and the comment will be displayed.
There are two Example worksheets (Budget - Example and Reserve Analysis - Example).          </t>
    </r>
  </si>
  <si>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 xml:space="preserve">First, </t>
    </r>
    <r>
      <rPr>
        <b/>
        <sz val="12"/>
        <color rgb="FFFF0000"/>
        <rFont val="Franklin Gothic Book"/>
        <family val="2"/>
      </rPr>
      <t>save this spreadsheet with the original name before doing anything</t>
    </r>
    <r>
      <rPr>
        <sz val="12"/>
        <color theme="1"/>
        <rFont val="Franklin Gothic Book"/>
        <family val="2"/>
      </rPr>
      <t xml:space="preserve">. </t>
    </r>
    <r>
      <rPr>
        <b/>
        <sz val="12"/>
        <color theme="1"/>
        <rFont val="Franklin Gothic Book"/>
        <family val="2"/>
      </rPr>
      <t>Second</t>
    </r>
    <r>
      <rPr>
        <sz val="12"/>
        <color theme="1"/>
        <rFont val="Franklin Gothic Book"/>
        <family val="2"/>
      </rPr>
      <t xml:space="preserve">, this spreadsheet is protected. </t>
    </r>
    <r>
      <rPr>
        <b/>
        <sz val="12"/>
        <color theme="1"/>
        <rFont val="Franklin Gothic Book"/>
        <family val="2"/>
      </rPr>
      <t>Third</t>
    </r>
    <r>
      <rPr>
        <sz val="12"/>
        <color theme="1"/>
        <rFont val="Franklin Gothic Book"/>
        <family val="2"/>
      </rPr>
      <t xml:space="preserve">, count the number of your association's reserve items. If you have more then 10, contact </t>
    </r>
    <r>
      <rPr>
        <b/>
        <sz val="12"/>
        <color theme="1"/>
        <rFont val="Franklin Gothic Book"/>
        <family val="2"/>
      </rPr>
      <t>Roger Helmer</t>
    </r>
    <r>
      <rPr>
        <sz val="12"/>
        <color theme="1"/>
        <rFont val="Franklin Gothic Book"/>
        <family val="2"/>
      </rPr>
      <t xml:space="preserve">. </t>
    </r>
    <r>
      <rPr>
        <b/>
        <sz val="12"/>
        <color theme="1"/>
        <rFont val="Franklin Gothic Book"/>
        <family val="2"/>
      </rPr>
      <t>Fourth</t>
    </r>
    <r>
      <rPr>
        <sz val="12"/>
        <color theme="1"/>
        <rFont val="Franklin Gothic Book"/>
        <family val="2"/>
      </rPr>
      <t xml:space="preserve">, </t>
    </r>
    <r>
      <rPr>
        <b/>
        <u/>
        <sz val="12"/>
        <color theme="1"/>
        <rFont val="Franklin Gothic Book"/>
        <family val="2"/>
      </rPr>
      <t>SAVE</t>
    </r>
    <r>
      <rPr>
        <sz val="12"/>
        <color theme="1"/>
        <rFont val="Franklin Gothic Book"/>
        <family val="2"/>
      </rPr>
      <t xml:space="preserve"> the spreadsheet with your association's name in the title before doing anything else!</t>
    </r>
    <r>
      <rPr>
        <b/>
        <sz val="12"/>
        <color theme="1"/>
        <rFont val="Franklin Gothic Book"/>
        <family val="2"/>
      </rPr>
      <t xml:space="preserve"> If you need help contact Roger Helmer at: rhelmer@ahfc.us or call: (907) 330-8429.</t>
    </r>
  </si>
  <si>
    <t>Will Fill-in Automatically</t>
  </si>
  <si>
    <t>Date of Allocation:</t>
  </si>
  <si>
    <t>Total Replacement Cost:</t>
  </si>
  <si>
    <t>Budgeted Reserve:</t>
  </si>
  <si>
    <t>Ratio Item to Total</t>
  </si>
  <si>
    <t>Item Budgeted Amount</t>
  </si>
  <si>
    <t>Replacement Cost</t>
  </si>
  <si>
    <t>Sample Associaiton</t>
  </si>
  <si>
    <t>BOILER</t>
  </si>
  <si>
    <t>ROOF</t>
  </si>
  <si>
    <t>EXTERIOR PAINT</t>
  </si>
  <si>
    <t>FENCES</t>
  </si>
  <si>
    <t xml:space="preserve">Total: </t>
  </si>
  <si>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This spreadsheet is protected.</t>
    </r>
    <r>
      <rPr>
        <sz val="12"/>
        <color theme="1"/>
        <rFont val="Franklin Gothic Book"/>
        <family val="2"/>
      </rPr>
      <t xml:space="preserve"> </t>
    </r>
    <r>
      <rPr>
        <b/>
        <sz val="12"/>
        <color theme="1"/>
        <rFont val="Franklin Gothic Book"/>
        <family val="2"/>
      </rPr>
      <t xml:space="preserve">If you need help contact Roger Helmer at: rhelmer@ahfc.us or call: (907) 330-8429. </t>
    </r>
  </si>
  <si>
    <t>BUILDING ROOF (12)</t>
  </si>
  <si>
    <t>Initial Replac. Cost</t>
  </si>
  <si>
    <t>Initial Annual  Payment Amount</t>
  </si>
  <si>
    <t>Current Annual Replac. Cost</t>
  </si>
  <si>
    <t>Required Reserves End of Fiscal Yr</t>
  </si>
  <si>
    <t>Budgeted Reserves This Fiscal Year</t>
  </si>
  <si>
    <t>Actual Reserves in Bank at Beginning of Fiscal Yr</t>
  </si>
  <si>
    <t>Yrs. in Use at Fiscal Yr. End</t>
  </si>
  <si>
    <t>Percent Funded at Fiscal Yr. End</t>
  </si>
  <si>
    <r>
      <t xml:space="preserve">End of Fiscal Yr Adequate / </t>
    </r>
    <r>
      <rPr>
        <b/>
        <sz val="10"/>
        <color rgb="FFFF0000"/>
        <rFont val="Franklin Gothic Book"/>
        <family val="2"/>
      </rPr>
      <t>(Shortage)</t>
    </r>
  </si>
  <si>
    <t>Remain. Amount to Fund Replac. Cost</t>
  </si>
  <si>
    <t>Enter</t>
  </si>
  <si>
    <t>Calc</t>
  </si>
  <si>
    <t>Jan - Dec</t>
  </si>
  <si>
    <t>Example - Condominium Association</t>
  </si>
  <si>
    <r>
      <t>INSURANCE DEDUCTIBLE</t>
    </r>
    <r>
      <rPr>
        <b/>
        <sz val="10"/>
        <color rgb="FFFF0000"/>
        <rFont val="Franklin Gothic Book"/>
        <family val="2"/>
      </rPr>
      <t>**</t>
    </r>
  </si>
  <si>
    <r>
      <rPr>
        <b/>
        <sz val="10"/>
        <color rgb="FFFF0000"/>
        <rFont val="Arial"/>
        <family val="2"/>
      </rPr>
      <t>**</t>
    </r>
    <r>
      <rPr>
        <b/>
        <sz val="10"/>
        <color theme="1"/>
        <rFont val="Arial"/>
        <family val="2"/>
      </rPr>
      <t xml:space="preserve">Note: </t>
    </r>
    <r>
      <rPr>
        <sz val="10"/>
        <color theme="1"/>
        <rFont val="Arial"/>
        <family val="2"/>
      </rPr>
      <t>If INSURANCE DEDUCTIBLE is funded 100%, then enter a zero for Replacement Cost.</t>
    </r>
  </si>
  <si>
    <t>Budgeted Reserve Total:</t>
  </si>
  <si>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 xml:space="preserve">First, </t>
    </r>
    <r>
      <rPr>
        <b/>
        <sz val="12"/>
        <color rgb="FFFF0000"/>
        <rFont val="Franklin Gothic Book"/>
        <family val="2"/>
      </rPr>
      <t>save this spreadsheet with the original name before doing anything</t>
    </r>
    <r>
      <rPr>
        <sz val="12"/>
        <color theme="1"/>
        <rFont val="Franklin Gothic Book"/>
        <family val="2"/>
      </rPr>
      <t xml:space="preserve">. </t>
    </r>
    <r>
      <rPr>
        <b/>
        <sz val="12"/>
        <color theme="1"/>
        <rFont val="Franklin Gothic Book"/>
        <family val="2"/>
      </rPr>
      <t>Second</t>
    </r>
    <r>
      <rPr>
        <sz val="12"/>
        <color theme="1"/>
        <rFont val="Franklin Gothic Book"/>
        <family val="2"/>
      </rPr>
      <t xml:space="preserve">, this spreadsheet is protected. </t>
    </r>
    <r>
      <rPr>
        <b/>
        <sz val="12"/>
        <color theme="1"/>
        <rFont val="Franklin Gothic Book"/>
        <family val="2"/>
      </rPr>
      <t>Third</t>
    </r>
    <r>
      <rPr>
        <sz val="12"/>
        <color theme="1"/>
        <rFont val="Franklin Gothic Book"/>
        <family val="2"/>
      </rPr>
      <t xml:space="preserve">, count the number of your association's reserve items. If you have more then 21, contact by email: condos@ahfc.us and ask that the number of rows be increased. </t>
    </r>
    <r>
      <rPr>
        <b/>
        <sz val="12"/>
        <color theme="1"/>
        <rFont val="Franklin Gothic Book"/>
        <family val="2"/>
      </rPr>
      <t>Fourth</t>
    </r>
    <r>
      <rPr>
        <sz val="12"/>
        <color theme="1"/>
        <rFont val="Franklin Gothic Book"/>
        <family val="2"/>
      </rPr>
      <t xml:space="preserve">, </t>
    </r>
    <r>
      <rPr>
        <b/>
        <u/>
        <sz val="12"/>
        <color theme="1"/>
        <rFont val="Franklin Gothic Book"/>
        <family val="2"/>
      </rPr>
      <t>SAVE</t>
    </r>
    <r>
      <rPr>
        <sz val="12"/>
        <color theme="1"/>
        <rFont val="Franklin Gothic Book"/>
        <family val="2"/>
      </rPr>
      <t xml:space="preserve"> the spreadsheet with your association's name in the title before doing anything else!</t>
    </r>
    <r>
      <rPr>
        <b/>
        <sz val="12"/>
        <color theme="1"/>
        <rFont val="Franklin Gothic Book"/>
        <family val="2"/>
      </rPr>
      <t xml:space="preserve"> If you need help contact by email: condos@ahfc.us.</t>
    </r>
  </si>
  <si>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This spreadsheet is protected.</t>
    </r>
    <r>
      <rPr>
        <sz val="12"/>
        <color theme="1"/>
        <rFont val="Franklin Gothic Book"/>
        <family val="2"/>
      </rPr>
      <t xml:space="preserve"> </t>
    </r>
    <r>
      <rPr>
        <b/>
        <sz val="12"/>
        <color theme="1"/>
        <rFont val="Franklin Gothic Book"/>
        <family val="2"/>
      </rPr>
      <t xml:space="preserve">If you need help contact by email: condos@ahfc.us. </t>
    </r>
  </si>
  <si>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 xml:space="preserve">First, </t>
    </r>
    <r>
      <rPr>
        <b/>
        <sz val="12"/>
        <color rgb="FFFF0000"/>
        <rFont val="Franklin Gothic Book"/>
        <family val="2"/>
      </rPr>
      <t>save this spreadsheet with the original name before doing anything</t>
    </r>
    <r>
      <rPr>
        <sz val="12"/>
        <color theme="1"/>
        <rFont val="Franklin Gothic Book"/>
        <family val="2"/>
      </rPr>
      <t xml:space="preserve">. </t>
    </r>
    <r>
      <rPr>
        <b/>
        <sz val="12"/>
        <color theme="1"/>
        <rFont val="Franklin Gothic Book"/>
        <family val="2"/>
      </rPr>
      <t>Second</t>
    </r>
    <r>
      <rPr>
        <sz val="12"/>
        <color theme="1"/>
        <rFont val="Franklin Gothic Book"/>
        <family val="2"/>
      </rPr>
      <t xml:space="preserve">, this spreadsheet is protected. </t>
    </r>
    <r>
      <rPr>
        <b/>
        <sz val="12"/>
        <color theme="1"/>
        <rFont val="Franklin Gothic Book"/>
        <family val="2"/>
      </rPr>
      <t>Third</t>
    </r>
    <r>
      <rPr>
        <sz val="12"/>
        <color theme="1"/>
        <rFont val="Franklin Gothic Book"/>
        <family val="2"/>
      </rPr>
      <t xml:space="preserve">, count the number of your association's reserve items. If you have more then 21, contact by email: condos@ahfc.us. </t>
    </r>
    <r>
      <rPr>
        <b/>
        <sz val="12"/>
        <color theme="1"/>
        <rFont val="Franklin Gothic Book"/>
        <family val="2"/>
      </rPr>
      <t>Fourth</t>
    </r>
    <r>
      <rPr>
        <sz val="12"/>
        <color theme="1"/>
        <rFont val="Franklin Gothic Book"/>
        <family val="2"/>
      </rPr>
      <t xml:space="preserve">, </t>
    </r>
    <r>
      <rPr>
        <b/>
        <u/>
        <sz val="12"/>
        <color theme="1"/>
        <rFont val="Franklin Gothic Book"/>
        <family val="2"/>
      </rPr>
      <t>SAVE</t>
    </r>
    <r>
      <rPr>
        <sz val="12"/>
        <color theme="1"/>
        <rFont val="Franklin Gothic Book"/>
        <family val="2"/>
      </rPr>
      <t xml:space="preserve"> the spreadsheet with your association's name in the title before doing anything else!</t>
    </r>
    <r>
      <rPr>
        <b/>
        <sz val="12"/>
        <color theme="1"/>
        <rFont val="Franklin Gothic Book"/>
        <family val="2"/>
      </rPr>
      <t xml:space="preserve"> If you need help contact by email: condos@ahfc.us.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</si>
</sst>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m/d/yy;@"/>
    <numFmt numFmtId="165" formatCode="#,##0.000_);[Red]\(#,##0.000\)"/>
  </numFmts>
  <fonts count="36" x14ac:knownFonts="1">
    <font>
      <sz val="10"/>
      <name val="Arial"/>
    </font>
    <font>
      <sz val="10"/>
      <name val="Arial"/>
      <family val="2"/>
    </font>
    <font>
      <b/>
      <sz val="10"/>
      <name val="Arial"/>
      <family val="2"/>
    </font>
    <font>
      <sz val="10"/>
      <name val="Arial"/>
      <family val="2"/>
    </font>
    <font>
      <b/>
      <i/>
      <sz val="9"/>
      <name val="Arial"/>
      <family val="2"/>
    </font>
    <font>
      <b/>
      <i/>
      <sz val="10"/>
      <name val="Arial"/>
      <family val="2"/>
    </font>
    <font>
      <sz val="9"/>
      <color indexed="81"/>
      <name val="Tahoma"/>
      <family val="2"/>
    </font>
    <font>
      <b/>
      <sz val="9"/>
      <color indexed="81"/>
      <name val="Tahoma"/>
      <family val="2"/>
    </font>
    <font>
      <b/>
      <sz val="10"/>
      <color rgb="FFFF0000"/>
      <name val="Arial"/>
      <family val="2"/>
    </font>
    <font>
      <b/>
      <sz val="10"/>
      <color theme="3" tint="0.39997558519241921"/>
      <name val="Arial"/>
      <family val="2"/>
    </font>
    <font>
      <b/>
      <sz val="10"/>
      <color theme="1"/>
      <name val="Arial"/>
      <family val="2"/>
    </font>
    <font>
      <b/>
      <sz val="10"/>
      <color theme="1"/>
      <name val="Franklin Gothic Book"/>
      <family val="2"/>
    </font>
    <font>
      <b/>
      <sz val="12"/>
      <color theme="1"/>
      <name val="Franklin Gothic Book"/>
      <family val="2"/>
    </font>
    <font>
      <sz val="10"/>
      <color theme="1"/>
      <name val="Franklin Gothic Book"/>
      <family val="2"/>
    </font>
    <font>
      <sz val="12"/>
      <color theme="1"/>
      <name val="Franklin Gothic Book"/>
      <family val="2"/>
    </font>
    <font>
      <b/>
      <sz val="10"/>
      <color rgb="FFFF0000"/>
      <name val="Franklin Gothic Book"/>
      <family val="2"/>
    </font>
    <font>
      <b/>
      <sz val="12"/>
      <color rgb="FFFF0000"/>
      <name val="Franklin Gothic Book"/>
      <family val="2"/>
    </font>
    <font>
      <b/>
      <sz val="10"/>
      <color indexed="81"/>
      <name val="Tahoma"/>
      <family val="2"/>
    </font>
    <font>
      <sz val="10"/>
      <color indexed="81"/>
      <name val="Tahoma"/>
      <family val="2"/>
    </font>
    <font>
      <b/>
      <sz val="10"/>
      <color indexed="10"/>
      <name val="Tahoma"/>
      <family val="2"/>
    </font>
    <font>
      <b/>
      <u/>
      <sz val="12"/>
      <color theme="1"/>
      <name val="Franklin Gothic Book"/>
      <family val="2"/>
    </font>
    <font>
      <b/>
      <sz val="10"/>
      <color rgb="FF0070C0"/>
      <name val="Arial"/>
      <family val="2"/>
    </font>
    <font>
      <sz val="10"/>
      <color theme="1"/>
      <name val="Arial"/>
      <family val="2"/>
    </font>
    <font>
      <b/>
      <sz val="10"/>
      <color rgb="FF00B050"/>
      <name val="Arial"/>
      <family val="2"/>
    </font>
    <font>
      <b/>
      <sz val="10"/>
      <name val="Franklin Gothic Book"/>
      <family val="2"/>
    </font>
    <font>
      <sz val="12"/>
      <name val="Arial"/>
      <family val="2"/>
    </font>
    <font>
      <b/>
      <sz val="12"/>
      <color rgb="FFFF0000"/>
      <name val="Arial"/>
      <family val="2"/>
    </font>
    <font>
      <b/>
      <sz val="12"/>
      <color theme="1"/>
      <name val="Arial"/>
      <family val="2"/>
    </font>
    <font>
      <u/>
      <sz val="12"/>
      <name val="Arial"/>
      <family val="2"/>
    </font>
    <font>
      <b/>
      <sz val="12"/>
      <name val="Arial"/>
      <family val="2"/>
    </font>
    <font>
      <sz val="12"/>
      <color rgb="FFFF0000"/>
      <name val="Arial"/>
      <family val="2"/>
    </font>
    <font>
      <sz val="10"/>
      <color rgb="FF574123"/>
      <name val="Tahoma"/>
      <family val="2"/>
    </font>
    <font>
      <sz val="10"/>
      <color rgb="FF00B050"/>
      <name val="Arial"/>
      <family val="2"/>
    </font>
    <font>
      <b/>
      <i/>
      <sz val="10"/>
      <color rgb="FF00B050"/>
      <name val="Arial"/>
      <family val="2"/>
    </font>
    <font>
      <b/>
      <sz val="10"/>
      <color rgb="FF00B050"/>
      <name val="Franklin Gothic Book"/>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352">
    <xf numFmtId="0" fontId="0" fillId="0" borderId="0" xfId="0"/>
    <xf numFmtId="0" fontId="2" fillId="0" borderId="0" xfId="0" applyFont="1"/>
    <xf numFmtId="0" fontId="0" fillId="0" borderId="0" xfId="0" applyBorder="1"/>
    <xf numFmtId="44" fontId="0" fillId="0" borderId="0" xfId="0" applyNumberFormat="1"/>
    <xf numFmtId="15" fontId="8" fillId="0" borderId="0" xfId="0" applyNumberFormat="1" applyFont="1"/>
    <xf numFmtId="0" fontId="0" fillId="0" borderId="0" xfId="0" applyFill="1"/>
    <xf numFmtId="44" fontId="0" fillId="0" borderId="0" xfId="2" applyFont="1" applyBorder="1"/>
    <xf numFmtId="0" fontId="2" fillId="0" borderId="0" xfId="0" applyFont="1" applyAlignment="1">
      <alignment horizontal="right"/>
    </xf>
    <xf numFmtId="0" fontId="2" fillId="0" borderId="0" xfId="0" applyFont="1" applyBorder="1" applyAlignment="1">
      <alignment horizontal="right"/>
    </xf>
    <xf numFmtId="0" fontId="3" fillId="0" borderId="0" xfId="0" applyFont="1"/>
    <xf numFmtId="40" fontId="2" fillId="0" borderId="0" xfId="2" applyNumberFormat="1" applyFont="1" applyBorder="1"/>
    <xf numFmtId="40" fontId="2" fillId="0" borderId="5" xfId="2" applyNumberFormat="1" applyFont="1" applyBorder="1"/>
    <xf numFmtId="0" fontId="2" fillId="0" borderId="6" xfId="0" applyFont="1" applyBorder="1" applyAlignment="1" applyProtection="1">
      <alignment horizontal="center"/>
      <protection locked="0"/>
    </xf>
    <xf numFmtId="40" fontId="0" fillId="0" borderId="4" xfId="2" applyNumberFormat="1" applyFont="1" applyBorder="1" applyProtection="1">
      <protection locked="0"/>
    </xf>
    <xf numFmtId="40" fontId="0" fillId="0" borderId="1" xfId="2" applyNumberFormat="1" applyFont="1" applyBorder="1" applyProtection="1">
      <protection locked="0"/>
    </xf>
    <xf numFmtId="40" fontId="2" fillId="2" borderId="0" xfId="0" applyNumberFormat="1" applyFont="1" applyFill="1"/>
    <xf numFmtId="40" fontId="2" fillId="0" borderId="0" xfId="0" applyNumberFormat="1" applyFont="1" applyFill="1"/>
    <xf numFmtId="40" fontId="3" fillId="0" borderId="0" xfId="0" applyNumberFormat="1" applyFont="1" applyFill="1"/>
    <xf numFmtId="40" fontId="2" fillId="0" borderId="0" xfId="1" applyNumberFormat="1" applyFont="1" applyFill="1" applyAlignment="1">
      <alignment horizontal="right"/>
    </xf>
    <xf numFmtId="40" fontId="2" fillId="0" borderId="0" xfId="1" applyNumberFormat="1" applyFont="1" applyFill="1"/>
    <xf numFmtId="40" fontId="3" fillId="0" borderId="0" xfId="0" applyNumberFormat="1" applyFont="1"/>
    <xf numFmtId="40" fontId="2" fillId="0" borderId="0" xfId="1" applyNumberFormat="1" applyFont="1"/>
    <xf numFmtId="40" fontId="2" fillId="0" borderId="0" xfId="0" applyNumberFormat="1" applyFont="1" applyAlignment="1">
      <alignment horizontal="right"/>
    </xf>
    <xf numFmtId="40" fontId="2" fillId="0" borderId="0" xfId="1" applyNumberFormat="1" applyFont="1" applyAlignment="1">
      <alignment horizontal="right"/>
    </xf>
    <xf numFmtId="40" fontId="4" fillId="0" borderId="0" xfId="1" applyNumberFormat="1" applyFont="1"/>
    <xf numFmtId="0" fontId="21" fillId="0" borderId="0" xfId="0" applyFont="1" applyAlignment="1">
      <alignment horizontal="right"/>
    </xf>
    <xf numFmtId="40" fontId="21" fillId="0" borderId="4" xfId="2" applyNumberFormat="1" applyFont="1" applyBorder="1" applyProtection="1">
      <protection locked="0"/>
    </xf>
    <xf numFmtId="40" fontId="21" fillId="0" borderId="1" xfId="2" applyNumberFormat="1" applyFont="1" applyBorder="1" applyProtection="1">
      <protection locked="0"/>
    </xf>
    <xf numFmtId="40" fontId="21" fillId="0" borderId="0" xfId="2" applyNumberFormat="1" applyFont="1" applyBorder="1"/>
    <xf numFmtId="40" fontId="21" fillId="0" borderId="5" xfId="2" applyNumberFormat="1" applyFont="1" applyBorder="1"/>
    <xf numFmtId="40" fontId="21" fillId="2" borderId="0" xfId="0" applyNumberFormat="1" applyFont="1" applyFill="1"/>
    <xf numFmtId="0" fontId="2" fillId="0" borderId="13" xfId="0" applyFont="1" applyBorder="1" applyAlignment="1">
      <alignment horizontal="right"/>
    </xf>
    <xf numFmtId="0" fontId="21" fillId="0" borderId="2" xfId="0" applyFont="1" applyBorder="1" applyAlignment="1" applyProtection="1">
      <alignment horizontal="center"/>
      <protection locked="0"/>
    </xf>
    <xf numFmtId="40" fontId="21" fillId="0" borderId="10" xfId="2" applyNumberFormat="1" applyFont="1" applyBorder="1" applyProtection="1">
      <protection locked="0"/>
    </xf>
    <xf numFmtId="40" fontId="21" fillId="0" borderId="13" xfId="0" applyNumberFormat="1" applyFont="1" applyBorder="1" applyProtection="1">
      <protection hidden="1"/>
    </xf>
    <xf numFmtId="0" fontId="0" fillId="0" borderId="0" xfId="0" applyAlignment="1"/>
    <xf numFmtId="40" fontId="10" fillId="0" borderId="13" xfId="0" applyNumberFormat="1" applyFont="1" applyBorder="1" applyProtection="1">
      <protection hidden="1"/>
    </xf>
    <xf numFmtId="49" fontId="11" fillId="0" borderId="0" xfId="3" applyNumberFormat="1" applyFont="1" applyBorder="1" applyAlignment="1" applyProtection="1">
      <alignment horizontal="right"/>
    </xf>
    <xf numFmtId="0" fontId="11" fillId="0" borderId="2" xfId="3" applyFont="1" applyBorder="1" applyAlignment="1" applyProtection="1">
      <alignment horizontal="center"/>
      <protection locked="0"/>
    </xf>
    <xf numFmtId="0" fontId="13" fillId="0" borderId="0" xfId="3" applyFont="1" applyProtection="1">
      <protection locked="0"/>
    </xf>
    <xf numFmtId="0" fontId="1" fillId="0" borderId="0" xfId="3"/>
    <xf numFmtId="38" fontId="12" fillId="0" borderId="2" xfId="3" applyNumberFormat="1" applyFont="1" applyBorder="1" applyAlignment="1" applyProtection="1">
      <alignment horizontal="center"/>
      <protection locked="0"/>
    </xf>
    <xf numFmtId="0" fontId="13" fillId="0" borderId="0" xfId="3" applyFont="1" applyAlignment="1" applyProtection="1">
      <protection locked="0"/>
    </xf>
    <xf numFmtId="4" fontId="13" fillId="0" borderId="0" xfId="3" applyNumberFormat="1" applyFont="1" applyAlignment="1" applyProtection="1">
      <alignment horizontal="center"/>
      <protection locked="0"/>
    </xf>
    <xf numFmtId="164" fontId="11" fillId="0" borderId="2" xfId="3" applyNumberFormat="1" applyFont="1" applyBorder="1" applyAlignment="1" applyProtection="1">
      <alignment horizontal="center"/>
      <protection locked="0"/>
    </xf>
    <xf numFmtId="40" fontId="11" fillId="0" borderId="2" xfId="3" applyNumberFormat="1" applyFont="1" applyBorder="1" applyAlignment="1" applyProtection="1">
      <alignment horizontal="center"/>
    </xf>
    <xf numFmtId="0" fontId="13" fillId="0" borderId="0" xfId="3" applyFont="1" applyAlignment="1" applyProtection="1">
      <alignment horizontal="right"/>
      <protection locked="0"/>
    </xf>
    <xf numFmtId="4" fontId="13" fillId="0" borderId="0" xfId="3" applyNumberFormat="1" applyFont="1" applyProtection="1">
      <protection locked="0"/>
    </xf>
    <xf numFmtId="0" fontId="13" fillId="0" borderId="0" xfId="3" applyFont="1" applyBorder="1" applyAlignment="1" applyProtection="1">
      <alignment vertical="top" wrapText="1"/>
    </xf>
    <xf numFmtId="0" fontId="13" fillId="0" borderId="0" xfId="3" applyFont="1" applyBorder="1" applyAlignment="1" applyProtection="1">
      <alignment wrapText="1"/>
    </xf>
    <xf numFmtId="0" fontId="11" fillId="0" borderId="9" xfId="3" applyFont="1" applyFill="1" applyBorder="1" applyAlignment="1" applyProtection="1">
      <alignment horizontal="center" wrapText="1"/>
    </xf>
    <xf numFmtId="4" fontId="11" fillId="0" borderId="10" xfId="3" applyNumberFormat="1" applyFont="1" applyFill="1" applyBorder="1" applyAlignment="1" applyProtection="1">
      <alignment horizontal="center" wrapText="1"/>
    </xf>
    <xf numFmtId="0" fontId="11" fillId="0" borderId="10" xfId="3" applyFont="1" applyFill="1" applyBorder="1" applyAlignment="1" applyProtection="1">
      <alignment horizontal="center" wrapText="1"/>
    </xf>
    <xf numFmtId="0" fontId="11" fillId="0" borderId="11" xfId="3" applyFont="1" applyFill="1" applyBorder="1" applyAlignment="1" applyProtection="1">
      <alignment horizontal="center" wrapText="1"/>
    </xf>
    <xf numFmtId="49" fontId="11" fillId="0" borderId="9" xfId="3" applyNumberFormat="1" applyFont="1" applyBorder="1" applyProtection="1"/>
    <xf numFmtId="38" fontId="13" fillId="0" borderId="10" xfId="3" applyNumberFormat="1" applyFont="1" applyBorder="1" applyAlignment="1" applyProtection="1">
      <alignment horizontal="center"/>
      <protection locked="0"/>
    </xf>
    <xf numFmtId="38" fontId="11" fillId="0" borderId="10" xfId="3" applyNumberFormat="1" applyFont="1" applyBorder="1" applyAlignment="1" applyProtection="1">
      <alignment horizontal="center"/>
    </xf>
    <xf numFmtId="38" fontId="13" fillId="0" borderId="10" xfId="3" applyNumberFormat="1" applyFont="1" applyBorder="1" applyProtection="1">
      <protection hidden="1"/>
    </xf>
    <xf numFmtId="38" fontId="11" fillId="0" borderId="10" xfId="3" applyNumberFormat="1" applyFont="1" applyBorder="1" applyProtection="1">
      <protection hidden="1"/>
    </xf>
    <xf numFmtId="10" fontId="13" fillId="0" borderId="10" xfId="3" applyNumberFormat="1" applyFont="1" applyBorder="1" applyProtection="1">
      <protection hidden="1"/>
    </xf>
    <xf numFmtId="38" fontId="11" fillId="0" borderId="0" xfId="3" applyNumberFormat="1" applyFont="1" applyBorder="1" applyAlignment="1" applyProtection="1">
      <alignment horizontal="right"/>
      <protection hidden="1"/>
    </xf>
    <xf numFmtId="38" fontId="11" fillId="0" borderId="12" xfId="3" applyNumberFormat="1" applyFont="1" applyBorder="1" applyProtection="1">
      <protection hidden="1"/>
    </xf>
    <xf numFmtId="0" fontId="13" fillId="0" borderId="0" xfId="3" applyFont="1" applyBorder="1" applyProtection="1">
      <protection locked="0"/>
    </xf>
    <xf numFmtId="0" fontId="14" fillId="0" borderId="0" xfId="3" applyFont="1" applyAlignment="1" applyProtection="1">
      <alignment horizontal="center" vertical="top" wrapText="1"/>
    </xf>
    <xf numFmtId="10" fontId="13" fillId="0" borderId="6" xfId="3" applyNumberFormat="1" applyFont="1" applyBorder="1" applyProtection="1">
      <protection hidden="1"/>
    </xf>
    <xf numFmtId="38" fontId="13" fillId="0" borderId="11" xfId="3" applyNumberFormat="1" applyFont="1" applyBorder="1" applyProtection="1">
      <protection hidden="1"/>
    </xf>
    <xf numFmtId="38" fontId="13" fillId="0" borderId="11" xfId="3" applyNumberFormat="1" applyFont="1" applyBorder="1" applyAlignment="1" applyProtection="1">
      <alignment horizontal="center"/>
      <protection locked="0"/>
    </xf>
    <xf numFmtId="44" fontId="10" fillId="0" borderId="0" xfId="2" applyFont="1" applyBorder="1" applyAlignment="1">
      <alignment horizontal="left"/>
    </xf>
    <xf numFmtId="0" fontId="13" fillId="0" borderId="0" xfId="3" applyFont="1" applyProtection="1"/>
    <xf numFmtId="0" fontId="13" fillId="0" borderId="0" xfId="3" applyFont="1" applyAlignment="1" applyProtection="1"/>
    <xf numFmtId="4" fontId="13" fillId="0" borderId="0" xfId="3" applyNumberFormat="1" applyFont="1" applyAlignment="1" applyProtection="1">
      <alignment horizontal="center"/>
    </xf>
    <xf numFmtId="40" fontId="13" fillId="0" borderId="0" xfId="3" applyNumberFormat="1" applyFont="1" applyBorder="1" applyAlignment="1" applyProtection="1"/>
    <xf numFmtId="0" fontId="13" fillId="0" borderId="0" xfId="3" applyFont="1" applyAlignment="1" applyProtection="1">
      <alignment horizontal="right"/>
    </xf>
    <xf numFmtId="4" fontId="13" fillId="0" borderId="0" xfId="3" applyNumberFormat="1" applyFont="1" applyProtection="1"/>
    <xf numFmtId="49" fontId="13" fillId="0" borderId="9" xfId="3" applyNumberFormat="1" applyFont="1" applyBorder="1" applyProtection="1"/>
    <xf numFmtId="38" fontId="13" fillId="0" borderId="10" xfId="3" applyNumberFormat="1" applyFont="1" applyBorder="1" applyAlignment="1" applyProtection="1">
      <alignment horizontal="center"/>
    </xf>
    <xf numFmtId="38" fontId="13" fillId="0" borderId="10" xfId="3" applyNumberFormat="1" applyFont="1" applyBorder="1" applyProtection="1"/>
    <xf numFmtId="49" fontId="13" fillId="0" borderId="9" xfId="3" applyNumberFormat="1" applyFont="1" applyBorder="1" applyProtection="1">
      <protection locked="0"/>
    </xf>
    <xf numFmtId="0" fontId="13" fillId="0" borderId="0" xfId="3" applyFont="1" applyBorder="1" applyAlignment="1" applyProtection="1">
      <alignment horizontal="right"/>
    </xf>
    <xf numFmtId="40" fontId="1" fillId="0" borderId="10" xfId="2" applyNumberFormat="1" applyFont="1" applyBorder="1" applyProtection="1">
      <protection locked="0"/>
    </xf>
    <xf numFmtId="0" fontId="1" fillId="0" borderId="9" xfId="0" applyFont="1" applyBorder="1"/>
    <xf numFmtId="0" fontId="2" fillId="0" borderId="0" xfId="0" applyFont="1" applyFill="1" applyAlignment="1">
      <alignment horizontal="right"/>
    </xf>
    <xf numFmtId="0" fontId="0" fillId="0" borderId="0" xfId="0" applyFill="1" applyBorder="1"/>
    <xf numFmtId="40" fontId="21" fillId="2" borderId="0" xfId="0" applyNumberFormat="1" applyFont="1" applyFill="1" applyBorder="1"/>
    <xf numFmtId="40" fontId="2" fillId="2" borderId="0" xfId="0" applyNumberFormat="1" applyFont="1" applyFill="1" applyBorder="1"/>
    <xf numFmtId="40" fontId="10" fillId="0" borderId="10" xfId="2" applyNumberFormat="1" applyFont="1" applyBorder="1" applyAlignment="1">
      <alignment horizontal="right"/>
    </xf>
    <xf numFmtId="40" fontId="10" fillId="0" borderId="0" xfId="2" applyNumberFormat="1" applyFont="1" applyBorder="1"/>
    <xf numFmtId="44" fontId="22" fillId="0" borderId="0" xfId="0" applyNumberFormat="1" applyFont="1"/>
    <xf numFmtId="40" fontId="22" fillId="0" borderId="0" xfId="0" applyNumberFormat="1" applyFont="1"/>
    <xf numFmtId="44" fontId="10" fillId="0" borderId="3" xfId="0" applyNumberFormat="1" applyFont="1" applyBorder="1"/>
    <xf numFmtId="44" fontId="10" fillId="0" borderId="0" xfId="0" applyNumberFormat="1" applyFont="1"/>
    <xf numFmtId="40" fontId="10" fillId="0" borderId="10" xfId="0" applyNumberFormat="1" applyFont="1" applyFill="1" applyBorder="1"/>
    <xf numFmtId="0" fontId="1" fillId="0" borderId="0" xfId="0" applyFont="1"/>
    <xf numFmtId="0" fontId="31" fillId="0" borderId="0" xfId="0" applyFont="1"/>
    <xf numFmtId="0" fontId="0" fillId="0" borderId="2" xfId="0" applyBorder="1" applyAlignment="1" applyProtection="1">
      <alignment horizontal="center"/>
      <protection locked="0"/>
    </xf>
    <xf numFmtId="164" fontId="0" fillId="0" borderId="2" xfId="0" applyNumberFormat="1" applyBorder="1" applyProtection="1">
      <protection locked="0"/>
    </xf>
    <xf numFmtId="40" fontId="21" fillId="0" borderId="8" xfId="2" applyNumberFormat="1" applyFont="1" applyBorder="1" applyProtection="1"/>
    <xf numFmtId="40" fontId="21" fillId="0" borderId="13" xfId="0" applyNumberFormat="1" applyFont="1" applyBorder="1" applyProtection="1"/>
    <xf numFmtId="40" fontId="0" fillId="0" borderId="4" xfId="2" applyNumberFormat="1" applyFont="1" applyBorder="1" applyProtection="1"/>
    <xf numFmtId="40" fontId="1" fillId="0" borderId="4" xfId="2" applyNumberFormat="1" applyFont="1" applyBorder="1" applyProtection="1"/>
    <xf numFmtId="40" fontId="10" fillId="0" borderId="13" xfId="0" applyNumberFormat="1" applyFont="1" applyBorder="1" applyProtection="1"/>
    <xf numFmtId="40" fontId="0" fillId="0" borderId="1" xfId="2" applyNumberFormat="1" applyFont="1" applyBorder="1" applyProtection="1"/>
    <xf numFmtId="40" fontId="1" fillId="0" borderId="10" xfId="2" applyNumberFormat="1" applyFont="1" applyBorder="1" applyProtection="1"/>
    <xf numFmtId="0" fontId="1" fillId="0" borderId="9" xfId="0" applyFont="1" applyBorder="1" applyProtection="1">
      <protection locked="0"/>
    </xf>
    <xf numFmtId="40" fontId="21" fillId="0" borderId="7" xfId="2" applyNumberFormat="1" applyFont="1" applyBorder="1" applyProtection="1"/>
    <xf numFmtId="40" fontId="21" fillId="0" borderId="9" xfId="2" applyNumberFormat="1" applyFont="1" applyBorder="1" applyProtection="1"/>
    <xf numFmtId="0" fontId="21" fillId="0" borderId="13" xfId="0" applyNumberFormat="1" applyFont="1" applyBorder="1" applyProtection="1"/>
    <xf numFmtId="49" fontId="0" fillId="0" borderId="9" xfId="0" applyNumberFormat="1" applyBorder="1" applyProtection="1"/>
    <xf numFmtId="40" fontId="22" fillId="0" borderId="4" xfId="2" applyNumberFormat="1" applyFont="1" applyBorder="1" applyProtection="1">
      <protection locked="0"/>
    </xf>
    <xf numFmtId="49" fontId="1" fillId="0" borderId="9" xfId="0" applyNumberFormat="1" applyFont="1" applyBorder="1" applyProtection="1"/>
    <xf numFmtId="0" fontId="1" fillId="0" borderId="2" xfId="0" applyFont="1" applyBorder="1" applyProtection="1">
      <protection locked="0"/>
    </xf>
    <xf numFmtId="0" fontId="0" fillId="0" borderId="2" xfId="0" applyBorder="1" applyProtection="1"/>
    <xf numFmtId="0" fontId="0" fillId="0" borderId="6" xfId="0" applyBorder="1" applyProtection="1"/>
    <xf numFmtId="0" fontId="11" fillId="0" borderId="0" xfId="3" applyFont="1" applyAlignment="1" applyProtection="1">
      <alignment horizontal="right"/>
    </xf>
    <xf numFmtId="0" fontId="0" fillId="0" borderId="2" xfId="0" applyBorder="1" applyAlignment="1" applyProtection="1">
      <alignment horizontal="center"/>
    </xf>
    <xf numFmtId="164" fontId="1" fillId="0" borderId="2" xfId="0" applyNumberFormat="1" applyFont="1" applyBorder="1" applyAlignment="1" applyProtection="1">
      <alignment horizontal="center"/>
    </xf>
    <xf numFmtId="0" fontId="21" fillId="0" borderId="2" xfId="0" applyFont="1" applyBorder="1" applyAlignment="1" applyProtection="1">
      <alignment horizontal="center"/>
    </xf>
    <xf numFmtId="0" fontId="2" fillId="0" borderId="6" xfId="0" applyFont="1" applyBorder="1" applyAlignment="1" applyProtection="1">
      <alignment horizontal="center"/>
    </xf>
    <xf numFmtId="0" fontId="1" fillId="0" borderId="2" xfId="0" applyFont="1" applyBorder="1" applyProtection="1"/>
    <xf numFmtId="0" fontId="0" fillId="0" borderId="6" xfId="0" applyFill="1" applyBorder="1" applyProtection="1"/>
    <xf numFmtId="44" fontId="10" fillId="0" borderId="0" xfId="2" applyFont="1" applyBorder="1" applyAlignment="1" applyProtection="1">
      <alignment horizontal="left"/>
    </xf>
    <xf numFmtId="44" fontId="23" fillId="0" borderId="0" xfId="2" applyFont="1" applyBorder="1" applyAlignment="1" applyProtection="1">
      <alignment horizontal="center"/>
    </xf>
    <xf numFmtId="44" fontId="10" fillId="0" borderId="0" xfId="2" applyFont="1" applyBorder="1" applyAlignment="1" applyProtection="1">
      <alignment horizontal="center"/>
    </xf>
    <xf numFmtId="0" fontId="10" fillId="3" borderId="9" xfId="0" applyFont="1" applyFill="1" applyBorder="1" applyProtection="1"/>
    <xf numFmtId="0" fontId="21" fillId="3" borderId="2" xfId="2" applyNumberFormat="1" applyFont="1" applyFill="1" applyBorder="1" applyAlignment="1" applyProtection="1">
      <alignment horizontal="center" wrapText="1"/>
    </xf>
    <xf numFmtId="0" fontId="21" fillId="3" borderId="2" xfId="2" applyNumberFormat="1" applyFont="1" applyFill="1" applyBorder="1" applyAlignment="1" applyProtection="1">
      <alignment horizontal="center"/>
    </xf>
    <xf numFmtId="0" fontId="10" fillId="3" borderId="2" xfId="2" applyNumberFormat="1" applyFont="1" applyFill="1" applyBorder="1" applyAlignment="1" applyProtection="1">
      <alignment horizontal="center" wrapText="1"/>
    </xf>
    <xf numFmtId="0" fontId="1" fillId="0" borderId="9" xfId="0" applyFont="1" applyBorder="1" applyProtection="1"/>
    <xf numFmtId="40" fontId="21" fillId="0" borderId="4" xfId="2" applyNumberFormat="1" applyFont="1" applyBorder="1" applyProtection="1"/>
    <xf numFmtId="0" fontId="2" fillId="0" borderId="13" xfId="0" applyFont="1" applyBorder="1" applyAlignment="1" applyProtection="1">
      <alignment horizontal="right"/>
    </xf>
    <xf numFmtId="44" fontId="21" fillId="3" borderId="0" xfId="0" applyNumberFormat="1" applyFont="1" applyFill="1" applyAlignment="1" applyProtection="1">
      <alignment horizontal="center" wrapText="1"/>
    </xf>
    <xf numFmtId="44" fontId="21" fillId="3" borderId="0" xfId="0" applyNumberFormat="1" applyFont="1" applyFill="1" applyAlignment="1" applyProtection="1">
      <alignment horizontal="center"/>
    </xf>
    <xf numFmtId="0" fontId="10" fillId="3" borderId="0" xfId="0" applyFont="1" applyFill="1" applyAlignment="1" applyProtection="1">
      <alignment horizontal="center" wrapText="1"/>
    </xf>
    <xf numFmtId="44" fontId="10" fillId="3" borderId="0" xfId="0" applyNumberFormat="1" applyFont="1" applyFill="1" applyAlignment="1" applyProtection="1">
      <alignment horizontal="center" wrapText="1"/>
    </xf>
    <xf numFmtId="40" fontId="21" fillId="0" borderId="1" xfId="2" applyNumberFormat="1" applyFont="1" applyBorder="1" applyProtection="1"/>
    <xf numFmtId="40" fontId="21" fillId="0" borderId="10" xfId="2" applyNumberFormat="1" applyFont="1" applyBorder="1" applyProtection="1"/>
    <xf numFmtId="40" fontId="1" fillId="0" borderId="12" xfId="0" applyNumberFormat="1" applyFont="1" applyBorder="1" applyProtection="1"/>
    <xf numFmtId="44" fontId="21" fillId="3" borderId="2" xfId="2" applyFont="1" applyFill="1" applyBorder="1" applyAlignment="1" applyProtection="1">
      <alignment horizontal="center"/>
    </xf>
    <xf numFmtId="44" fontId="10" fillId="3" borderId="2" xfId="2" applyFont="1" applyFill="1" applyBorder="1" applyAlignment="1" applyProtection="1">
      <alignment horizontal="center"/>
    </xf>
    <xf numFmtId="40" fontId="22" fillId="0" borderId="4" xfId="2" applyNumberFormat="1" applyFont="1" applyBorder="1" applyProtection="1"/>
    <xf numFmtId="40" fontId="21" fillId="0" borderId="12" xfId="0" applyNumberFormat="1" applyFont="1" applyBorder="1" applyProtection="1"/>
    <xf numFmtId="40" fontId="22" fillId="0" borderId="12" xfId="0" applyNumberFormat="1" applyFont="1" applyBorder="1" applyProtection="1"/>
    <xf numFmtId="0" fontId="5" fillId="0" borderId="0" xfId="0" applyFont="1" applyAlignment="1" applyProtection="1">
      <alignment horizontal="center" vertical="center" wrapText="1"/>
    </xf>
    <xf numFmtId="40" fontId="21" fillId="0" borderId="0" xfId="2" applyNumberFormat="1" applyFont="1" applyBorder="1" applyProtection="1"/>
    <xf numFmtId="40" fontId="0" fillId="0" borderId="0" xfId="2" applyNumberFormat="1" applyFont="1" applyBorder="1" applyProtection="1"/>
    <xf numFmtId="0" fontId="2" fillId="0" borderId="10" xfId="0" applyFont="1" applyBorder="1" applyAlignment="1" applyProtection="1">
      <alignment horizontal="right" vertical="center" wrapText="1"/>
    </xf>
    <xf numFmtId="40" fontId="21" fillId="0" borderId="10" xfId="2" applyNumberFormat="1" applyFont="1" applyBorder="1" applyAlignment="1" applyProtection="1">
      <alignment horizontal="right"/>
    </xf>
    <xf numFmtId="40" fontId="10" fillId="0" borderId="10" xfId="2" applyNumberFormat="1" applyFont="1" applyBorder="1" applyAlignment="1" applyProtection="1">
      <alignment horizontal="right"/>
    </xf>
    <xf numFmtId="0" fontId="2" fillId="0" borderId="0" xfId="0" applyFont="1" applyAlignment="1" applyProtection="1">
      <alignment horizontal="right"/>
    </xf>
    <xf numFmtId="40" fontId="10" fillId="0" borderId="0" xfId="2" applyNumberFormat="1" applyFont="1" applyBorder="1" applyProtection="1"/>
    <xf numFmtId="0" fontId="0" fillId="0" borderId="0" xfId="0" applyProtection="1"/>
    <xf numFmtId="0" fontId="21" fillId="0" borderId="0" xfId="0" applyFont="1" applyProtection="1"/>
    <xf numFmtId="0" fontId="22" fillId="0" borderId="0" xfId="0" applyFont="1" applyProtection="1"/>
    <xf numFmtId="44" fontId="22" fillId="0" borderId="0" xfId="0" applyNumberFormat="1" applyFont="1" applyProtection="1"/>
    <xf numFmtId="0" fontId="2" fillId="0" borderId="0" xfId="0" applyFont="1" applyFill="1" applyBorder="1" applyAlignment="1" applyProtection="1">
      <alignment horizontal="right"/>
    </xf>
    <xf numFmtId="40" fontId="21" fillId="0" borderId="0" xfId="0" applyNumberFormat="1" applyFont="1" applyProtection="1"/>
    <xf numFmtId="40" fontId="22" fillId="0" borderId="0" xfId="0" applyNumberFormat="1" applyFont="1" applyProtection="1"/>
    <xf numFmtId="0" fontId="3" fillId="0" borderId="3" xfId="0" applyFont="1" applyBorder="1" applyProtection="1"/>
    <xf numFmtId="0" fontId="21" fillId="0" borderId="3" xfId="0" applyFont="1" applyBorder="1" applyProtection="1"/>
    <xf numFmtId="0" fontId="9" fillId="0" borderId="3" xfId="0" applyFont="1" applyBorder="1" applyProtection="1"/>
    <xf numFmtId="44" fontId="10" fillId="0" borderId="3" xfId="0" applyNumberFormat="1" applyFont="1" applyBorder="1" applyProtection="1"/>
    <xf numFmtId="0" fontId="22" fillId="0" borderId="3" xfId="0" applyFont="1" applyBorder="1" applyProtection="1"/>
    <xf numFmtId="0" fontId="3" fillId="0" borderId="0" xfId="0" applyFont="1" applyProtection="1"/>
    <xf numFmtId="0" fontId="9" fillId="0" borderId="0" xfId="0" applyFont="1" applyProtection="1"/>
    <xf numFmtId="44" fontId="10" fillId="0" borderId="0" xfId="0" applyNumberFormat="1" applyFont="1" applyProtection="1"/>
    <xf numFmtId="0" fontId="2" fillId="0" borderId="0" xfId="0" applyFont="1" applyProtection="1"/>
    <xf numFmtId="0" fontId="2" fillId="0" borderId="10" xfId="0" applyFont="1" applyBorder="1" applyAlignment="1" applyProtection="1">
      <alignment horizontal="right"/>
    </xf>
    <xf numFmtId="40" fontId="21" fillId="0" borderId="10" xfId="0" applyNumberFormat="1" applyFont="1" applyFill="1" applyBorder="1" applyProtection="1"/>
    <xf numFmtId="40" fontId="10" fillId="0" borderId="10" xfId="0" applyNumberFormat="1" applyFont="1" applyFill="1" applyBorder="1" applyProtection="1"/>
    <xf numFmtId="38" fontId="13" fillId="0" borderId="6" xfId="3" applyNumberFormat="1" applyFont="1" applyBorder="1" applyProtection="1"/>
    <xf numFmtId="0" fontId="11" fillId="0" borderId="2" xfId="3" applyFont="1" applyBorder="1" applyAlignment="1" applyProtection="1">
      <alignment horizontal="center"/>
    </xf>
    <xf numFmtId="14" fontId="11" fillId="0" borderId="2" xfId="3" applyNumberFormat="1" applyFont="1" applyBorder="1" applyProtection="1"/>
    <xf numFmtId="38" fontId="12" fillId="0" borderId="2" xfId="3" applyNumberFormat="1" applyFont="1" applyBorder="1" applyAlignment="1" applyProtection="1">
      <alignment horizontal="center"/>
    </xf>
    <xf numFmtId="164" fontId="11" fillId="0" borderId="2" xfId="3" applyNumberFormat="1" applyFont="1" applyBorder="1" applyAlignment="1" applyProtection="1">
      <alignment horizontal="center"/>
    </xf>
    <xf numFmtId="0" fontId="11" fillId="0" borderId="8" xfId="3" applyFont="1" applyFill="1" applyBorder="1" applyAlignment="1" applyProtection="1">
      <alignment horizontal="center" wrapText="1"/>
    </xf>
    <xf numFmtId="4" fontId="11" fillId="0" borderId="4" xfId="3" applyNumberFormat="1" applyFont="1" applyFill="1" applyBorder="1" applyAlignment="1" applyProtection="1">
      <alignment horizontal="center" wrapText="1"/>
    </xf>
    <xf numFmtId="0" fontId="11" fillId="0" borderId="4" xfId="3" applyFont="1" applyFill="1" applyBorder="1" applyAlignment="1" applyProtection="1">
      <alignment horizontal="center" wrapText="1"/>
    </xf>
    <xf numFmtId="0" fontId="11" fillId="0" borderId="15" xfId="3" applyFont="1" applyFill="1" applyBorder="1" applyAlignment="1" applyProtection="1">
      <alignment horizontal="center" wrapText="1"/>
    </xf>
    <xf numFmtId="38" fontId="11" fillId="0" borderId="11" xfId="3" applyNumberFormat="1" applyFont="1" applyBorder="1" applyProtection="1">
      <protection hidden="1"/>
    </xf>
    <xf numFmtId="49" fontId="12" fillId="0" borderId="9" xfId="3" applyNumberFormat="1" applyFont="1" applyBorder="1" applyProtection="1"/>
    <xf numFmtId="38" fontId="13" fillId="0" borderId="11" xfId="3" applyNumberFormat="1" applyFont="1" applyBorder="1" applyAlignment="1" applyProtection="1">
      <alignment horizontal="center"/>
    </xf>
    <xf numFmtId="0" fontId="11" fillId="0" borderId="0" xfId="3" applyFont="1" applyBorder="1" applyProtection="1"/>
    <xf numFmtId="0" fontId="13" fillId="0" borderId="0" xfId="3" applyFont="1" applyBorder="1" applyAlignment="1" applyProtection="1">
      <alignment horizontal="center"/>
    </xf>
    <xf numFmtId="10" fontId="13" fillId="0" borderId="16" xfId="3" applyNumberFormat="1" applyFont="1" applyBorder="1" applyProtection="1">
      <protection hidden="1"/>
    </xf>
    <xf numFmtId="38" fontId="11" fillId="0" borderId="14" xfId="3" applyNumberFormat="1" applyFont="1" applyBorder="1" applyProtection="1">
      <protection hidden="1"/>
    </xf>
    <xf numFmtId="0" fontId="23" fillId="0" borderId="0" xfId="0" applyFont="1" applyAlignment="1">
      <alignment horizontal="right"/>
    </xf>
    <xf numFmtId="0" fontId="23" fillId="0" borderId="0" xfId="0" applyFont="1" applyFill="1" applyAlignment="1">
      <alignment horizontal="right"/>
    </xf>
    <xf numFmtId="40" fontId="23" fillId="0" borderId="8" xfId="2" applyNumberFormat="1" applyFont="1" applyBorder="1" applyProtection="1"/>
    <xf numFmtId="40" fontId="23" fillId="0" borderId="13" xfId="0" applyNumberFormat="1" applyFont="1" applyBorder="1" applyProtection="1"/>
    <xf numFmtId="40" fontId="32" fillId="0" borderId="4" xfId="2" applyNumberFormat="1" applyFont="1" applyBorder="1" applyProtection="1"/>
    <xf numFmtId="40" fontId="32" fillId="0" borderId="1" xfId="2" applyNumberFormat="1" applyFont="1" applyBorder="1" applyProtection="1"/>
    <xf numFmtId="40" fontId="32" fillId="0" borderId="10" xfId="2" applyNumberFormat="1" applyFont="1" applyBorder="1" applyProtection="1"/>
    <xf numFmtId="40" fontId="23" fillId="0" borderId="7" xfId="2" applyNumberFormat="1" applyFont="1" applyBorder="1" applyProtection="1"/>
    <xf numFmtId="40" fontId="23" fillId="0" borderId="9" xfId="2" applyNumberFormat="1" applyFont="1" applyBorder="1" applyProtection="1"/>
    <xf numFmtId="0" fontId="23" fillId="0" borderId="13" xfId="0" applyNumberFormat="1" applyFont="1" applyBorder="1" applyProtection="1"/>
    <xf numFmtId="40" fontId="23" fillId="0" borderId="13" xfId="0" applyNumberFormat="1" applyFont="1" applyBorder="1" applyProtection="1">
      <protection hidden="1"/>
    </xf>
    <xf numFmtId="40" fontId="32" fillId="0" borderId="12" xfId="0" applyNumberFormat="1" applyFont="1" applyBorder="1" applyProtection="1">
      <protection hidden="1"/>
    </xf>
    <xf numFmtId="40" fontId="23" fillId="0" borderId="8" xfId="2" applyNumberFormat="1" applyFont="1" applyBorder="1"/>
    <xf numFmtId="40" fontId="23" fillId="0" borderId="0" xfId="2" applyNumberFormat="1" applyFont="1" applyBorder="1"/>
    <xf numFmtId="40" fontId="23" fillId="0" borderId="10" xfId="2" applyNumberFormat="1" applyFont="1" applyBorder="1" applyAlignment="1">
      <alignment horizontal="right"/>
    </xf>
    <xf numFmtId="0" fontId="32" fillId="0" borderId="0" xfId="0" applyFont="1"/>
    <xf numFmtId="0" fontId="23" fillId="0" borderId="0" xfId="0" applyFont="1"/>
    <xf numFmtId="40" fontId="23" fillId="0" borderId="0" xfId="0" applyNumberFormat="1" applyFont="1"/>
    <xf numFmtId="40" fontId="32" fillId="0" borderId="0" xfId="0" applyNumberFormat="1" applyFont="1"/>
    <xf numFmtId="0" fontId="32" fillId="0" borderId="3" xfId="0" applyFont="1" applyBorder="1"/>
    <xf numFmtId="0" fontId="23" fillId="0" borderId="3" xfId="0" applyFont="1" applyBorder="1"/>
    <xf numFmtId="44" fontId="23" fillId="0" borderId="3" xfId="0" applyNumberFormat="1" applyFont="1" applyBorder="1"/>
    <xf numFmtId="44" fontId="23" fillId="0" borderId="0" xfId="0" applyNumberFormat="1" applyFont="1"/>
    <xf numFmtId="40" fontId="23" fillId="0" borderId="10" xfId="0" applyNumberFormat="1" applyFont="1" applyFill="1" applyBorder="1"/>
    <xf numFmtId="40" fontId="22" fillId="0" borderId="0" xfId="2" applyNumberFormat="1" applyFont="1" applyBorder="1"/>
    <xf numFmtId="0" fontId="10" fillId="0" borderId="0" xfId="0" applyFont="1"/>
    <xf numFmtId="40" fontId="10" fillId="0" borderId="0" xfId="0" applyNumberFormat="1" applyFont="1"/>
    <xf numFmtId="0" fontId="10" fillId="0" borderId="3" xfId="0" applyFont="1" applyBorder="1"/>
    <xf numFmtId="40" fontId="32" fillId="0" borderId="2" xfId="0" applyNumberFormat="1" applyFont="1" applyBorder="1" applyProtection="1"/>
    <xf numFmtId="0" fontId="32" fillId="0" borderId="6" xfId="0" applyFont="1" applyBorder="1" applyProtection="1"/>
    <xf numFmtId="40" fontId="32" fillId="0" borderId="6" xfId="0" applyNumberFormat="1" applyFont="1" applyFill="1" applyBorder="1" applyProtection="1"/>
    <xf numFmtId="40" fontId="10" fillId="0" borderId="4" xfId="2" applyNumberFormat="1" applyFont="1" applyBorder="1" applyProtection="1">
      <protection locked="0"/>
    </xf>
    <xf numFmtId="40" fontId="10" fillId="0" borderId="10" xfId="2" applyNumberFormat="1" applyFont="1" applyBorder="1" applyProtection="1">
      <protection locked="0"/>
    </xf>
    <xf numFmtId="40" fontId="10" fillId="0" borderId="1" xfId="2" applyNumberFormat="1" applyFont="1" applyBorder="1" applyProtection="1">
      <protection locked="0"/>
    </xf>
    <xf numFmtId="0" fontId="21" fillId="3" borderId="10" xfId="2" applyNumberFormat="1" applyFont="1" applyFill="1" applyBorder="1" applyAlignment="1">
      <alignment horizontal="center" wrapText="1"/>
    </xf>
    <xf numFmtId="0" fontId="21" fillId="3" borderId="10" xfId="2" applyNumberFormat="1" applyFont="1" applyFill="1" applyBorder="1" applyAlignment="1">
      <alignment horizontal="center"/>
    </xf>
    <xf numFmtId="0" fontId="10" fillId="3" borderId="10" xfId="2" applyNumberFormat="1" applyFont="1" applyFill="1" applyBorder="1" applyAlignment="1">
      <alignment horizontal="center" wrapText="1"/>
    </xf>
    <xf numFmtId="0" fontId="10" fillId="3" borderId="6" xfId="0" applyFont="1" applyFill="1" applyBorder="1"/>
    <xf numFmtId="44" fontId="23" fillId="0" borderId="10" xfId="2" applyFont="1" applyBorder="1" applyAlignment="1">
      <alignment horizontal="center"/>
    </xf>
    <xf numFmtId="44" fontId="10" fillId="0" borderId="10" xfId="2" applyFont="1" applyBorder="1" applyAlignment="1">
      <alignment horizontal="center"/>
    </xf>
    <xf numFmtId="44" fontId="21" fillId="3" borderId="10" xfId="0" applyNumberFormat="1" applyFont="1" applyFill="1" applyBorder="1" applyAlignment="1">
      <alignment horizontal="center" wrapText="1"/>
    </xf>
    <xf numFmtId="44" fontId="21" fillId="3" borderId="10" xfId="0" applyNumberFormat="1" applyFont="1" applyFill="1" applyBorder="1" applyAlignment="1">
      <alignment horizontal="center"/>
    </xf>
    <xf numFmtId="0" fontId="10" fillId="3" borderId="10" xfId="0" applyFont="1" applyFill="1" applyBorder="1" applyAlignment="1">
      <alignment horizontal="center" wrapText="1"/>
    </xf>
    <xf numFmtId="44" fontId="10" fillId="3" borderId="10" xfId="0" applyNumberFormat="1" applyFont="1" applyFill="1" applyBorder="1" applyAlignment="1">
      <alignment horizontal="center" wrapText="1"/>
    </xf>
    <xf numFmtId="44" fontId="23" fillId="0" borderId="0" xfId="2" applyFont="1" applyBorder="1" applyAlignment="1">
      <alignment horizontal="left"/>
    </xf>
    <xf numFmtId="44" fontId="22" fillId="0" borderId="4" xfId="2" applyFont="1" applyBorder="1" applyProtection="1">
      <protection locked="0"/>
    </xf>
    <xf numFmtId="0" fontId="2" fillId="0" borderId="0" xfId="0" applyFont="1" applyBorder="1" applyAlignment="1" applyProtection="1">
      <alignment horizontal="right"/>
    </xf>
    <xf numFmtId="0" fontId="21" fillId="0" borderId="0" xfId="0" applyFont="1" applyAlignment="1" applyProtection="1">
      <alignment horizontal="right"/>
    </xf>
    <xf numFmtId="15" fontId="8" fillId="0" borderId="0" xfId="0" applyNumberFormat="1" applyFont="1" applyProtection="1"/>
    <xf numFmtId="0" fontId="2" fillId="0" borderId="0" xfId="0" applyFont="1" applyBorder="1" applyAlignment="1" applyProtection="1">
      <alignment horizontal="left"/>
    </xf>
    <xf numFmtId="0" fontId="0" fillId="0" borderId="0" xfId="0" applyBorder="1" applyAlignment="1" applyProtection="1">
      <alignment horizontal="center"/>
    </xf>
    <xf numFmtId="44" fontId="10" fillId="0" borderId="10" xfId="2" applyFont="1" applyBorder="1" applyAlignment="1">
      <alignment horizontal="left"/>
    </xf>
    <xf numFmtId="44" fontId="21" fillId="3" borderId="10" xfId="2" applyFont="1" applyFill="1" applyBorder="1" applyAlignment="1">
      <alignment horizontal="center"/>
    </xf>
    <xf numFmtId="44" fontId="10" fillId="3" borderId="10" xfId="2" applyFont="1" applyFill="1" applyBorder="1" applyAlignment="1">
      <alignment horizontal="center"/>
    </xf>
    <xf numFmtId="164" fontId="0" fillId="0" borderId="0" xfId="0" applyNumberFormat="1" applyBorder="1" applyProtection="1"/>
    <xf numFmtId="0" fontId="0" fillId="0" borderId="0" xfId="0" applyFill="1" applyProtection="1"/>
    <xf numFmtId="44" fontId="0" fillId="0" borderId="0" xfId="2" applyFont="1" applyBorder="1" applyProtection="1"/>
    <xf numFmtId="0" fontId="0" fillId="0" borderId="0" xfId="0" applyBorder="1" applyProtection="1"/>
    <xf numFmtId="0" fontId="1" fillId="0" borderId="0" xfId="0" applyFont="1" applyProtection="1"/>
    <xf numFmtId="0" fontId="31" fillId="0" borderId="0" xfId="0" applyFont="1" applyProtection="1"/>
    <xf numFmtId="40" fontId="2" fillId="0" borderId="0" xfId="0" applyNumberFormat="1" applyFont="1" applyFill="1" applyProtection="1"/>
    <xf numFmtId="0" fontId="10" fillId="0" borderId="13" xfId="0" applyFont="1" applyBorder="1" applyAlignment="1" applyProtection="1">
      <alignment horizontal="right"/>
    </xf>
    <xf numFmtId="0" fontId="33" fillId="0" borderId="0" xfId="0" applyFont="1" applyAlignment="1" applyProtection="1">
      <alignment horizontal="center" vertical="center" wrapText="1"/>
    </xf>
    <xf numFmtId="0" fontId="10" fillId="0" borderId="10" xfId="0" applyFont="1" applyBorder="1" applyAlignment="1" applyProtection="1">
      <alignment horizontal="right" vertical="center" wrapText="1"/>
    </xf>
    <xf numFmtId="0" fontId="23" fillId="0" borderId="0" xfId="0" applyFont="1" applyAlignment="1" applyProtection="1">
      <alignment horizontal="right"/>
    </xf>
    <xf numFmtId="0" fontId="32" fillId="0" borderId="0" xfId="0" applyFont="1" applyProtection="1"/>
    <xf numFmtId="0" fontId="23" fillId="0" borderId="0" xfId="0" applyFont="1" applyFill="1" applyBorder="1" applyAlignment="1" applyProtection="1">
      <alignment horizontal="right"/>
    </xf>
    <xf numFmtId="0" fontId="32" fillId="0" borderId="3" xfId="0" applyFont="1" applyBorder="1" applyProtection="1"/>
    <xf numFmtId="0" fontId="23" fillId="0" borderId="0" xfId="0" applyFont="1" applyProtection="1"/>
    <xf numFmtId="0" fontId="10" fillId="0" borderId="10" xfId="0" applyFont="1" applyBorder="1" applyAlignment="1" applyProtection="1">
      <alignment horizontal="right"/>
    </xf>
    <xf numFmtId="4" fontId="11" fillId="0" borderId="0" xfId="3" applyNumberFormat="1" applyFont="1" applyAlignment="1" applyProtection="1">
      <alignment horizontal="right"/>
    </xf>
    <xf numFmtId="0" fontId="11" fillId="0" borderId="0" xfId="3" applyFont="1" applyAlignment="1" applyProtection="1">
      <alignment horizontal="right"/>
    </xf>
    <xf numFmtId="0" fontId="11" fillId="0" borderId="0" xfId="3" applyFont="1" applyAlignment="1" applyProtection="1">
      <alignment horizontal="right"/>
    </xf>
    <xf numFmtId="14" fontId="11" fillId="0" borderId="0" xfId="3" applyNumberFormat="1" applyFont="1" applyBorder="1" applyProtection="1">
      <protection locked="0"/>
    </xf>
    <xf numFmtId="165" fontId="13" fillId="0" borderId="10" xfId="3" applyNumberFormat="1" applyFont="1" applyBorder="1" applyProtection="1"/>
    <xf numFmtId="38" fontId="11" fillId="0" borderId="0" xfId="0" applyNumberFormat="1" applyFont="1" applyFill="1" applyBorder="1" applyAlignment="1" applyProtection="1">
      <alignment horizontal="right"/>
      <protection hidden="1"/>
    </xf>
    <xf numFmtId="38" fontId="11" fillId="0" borderId="12" xfId="0" applyNumberFormat="1" applyFont="1" applyFill="1" applyBorder="1" applyAlignment="1" applyProtection="1">
      <protection hidden="1"/>
    </xf>
    <xf numFmtId="9" fontId="11" fillId="0" borderId="12" xfId="0" applyNumberFormat="1" applyFont="1" applyFill="1" applyBorder="1" applyAlignment="1" applyProtection="1">
      <protection hidden="1"/>
    </xf>
    <xf numFmtId="38" fontId="24" fillId="0" borderId="2" xfId="3" applyNumberFormat="1" applyFont="1" applyBorder="1" applyAlignment="1" applyProtection="1">
      <alignment horizontal="left"/>
    </xf>
    <xf numFmtId="3" fontId="24" fillId="0" borderId="2" xfId="3" applyNumberFormat="1" applyFont="1" applyBorder="1" applyAlignment="1" applyProtection="1">
      <alignment horizontal="left"/>
    </xf>
    <xf numFmtId="14" fontId="1" fillId="0" borderId="2" xfId="3" applyNumberFormat="1" applyBorder="1" applyProtection="1">
      <protection locked="0"/>
    </xf>
    <xf numFmtId="0" fontId="24" fillId="0" borderId="0" xfId="3" applyFont="1" applyBorder="1" applyAlignment="1" applyProtection="1">
      <alignment horizontal="left"/>
    </xf>
    <xf numFmtId="0" fontId="1" fillId="0" borderId="0" xfId="3" applyProtection="1"/>
    <xf numFmtId="38" fontId="12" fillId="0" borderId="0" xfId="3" applyNumberFormat="1" applyFont="1" applyBorder="1" applyAlignment="1" applyProtection="1">
      <alignment horizontal="center"/>
    </xf>
    <xf numFmtId="0" fontId="13" fillId="0" borderId="0" xfId="0" applyNumberFormat="1" applyFont="1" applyFill="1" applyBorder="1" applyAlignment="1" applyProtection="1">
      <alignment horizontal="right"/>
    </xf>
    <xf numFmtId="14" fontId="11" fillId="0" borderId="0" xfId="3" applyNumberFormat="1" applyFont="1" applyBorder="1" applyProtection="1"/>
    <xf numFmtId="164" fontId="11" fillId="0" borderId="0" xfId="3" applyNumberFormat="1" applyFont="1" applyBorder="1" applyAlignment="1" applyProtection="1">
      <alignment horizontal="center"/>
    </xf>
    <xf numFmtId="0" fontId="13" fillId="0" borderId="0" xfId="3" applyFont="1" applyBorder="1" applyProtection="1"/>
    <xf numFmtId="3" fontId="24" fillId="0" borderId="2" xfId="3" applyNumberFormat="1" applyFont="1" applyBorder="1" applyAlignment="1" applyProtection="1">
      <alignment horizontal="left"/>
      <protection locked="0"/>
    </xf>
    <xf numFmtId="49" fontId="11" fillId="0" borderId="0" xfId="3" applyNumberFormat="1" applyFont="1" applyBorder="1" applyAlignment="1" applyProtection="1">
      <alignment horizontal="center"/>
    </xf>
    <xf numFmtId="0" fontId="13" fillId="0" borderId="0" xfId="3" applyFont="1" applyAlignment="1" applyProtection="1">
      <alignment horizontal="center"/>
    </xf>
    <xf numFmtId="38" fontId="13" fillId="0" borderId="10" xfId="3" applyNumberFormat="1" applyFont="1" applyBorder="1" applyAlignment="1" applyProtection="1">
      <alignment horizontal="center"/>
      <protection hidden="1"/>
    </xf>
    <xf numFmtId="38" fontId="13" fillId="0" borderId="11" xfId="3" applyNumberFormat="1" applyFont="1" applyBorder="1" applyAlignment="1" applyProtection="1">
      <alignment horizontal="center"/>
      <protection hidden="1"/>
    </xf>
    <xf numFmtId="38" fontId="11" fillId="0" borderId="12" xfId="0" applyNumberFormat="1" applyFont="1" applyFill="1" applyBorder="1" applyAlignment="1" applyProtection="1">
      <alignment horizontal="center"/>
      <protection hidden="1"/>
    </xf>
    <xf numFmtId="0" fontId="1" fillId="0" borderId="0" xfId="3" applyAlignment="1">
      <alignment horizontal="center"/>
    </xf>
    <xf numFmtId="0" fontId="11" fillId="0" borderId="0" xfId="3" applyFont="1" applyAlignment="1" applyProtection="1">
      <alignment horizontal="center"/>
    </xf>
    <xf numFmtId="38" fontId="13" fillId="0" borderId="6" xfId="3" applyNumberFormat="1" applyFont="1" applyBorder="1" applyAlignment="1" applyProtection="1">
      <alignment horizontal="center"/>
      <protection locked="0"/>
    </xf>
    <xf numFmtId="38" fontId="11" fillId="0" borderId="12" xfId="0" applyNumberFormat="1" applyFont="1" applyFill="1" applyBorder="1" applyAlignment="1" applyProtection="1">
      <alignment horizontal="center"/>
    </xf>
    <xf numFmtId="10" fontId="13" fillId="0" borderId="10" xfId="3" applyNumberFormat="1" applyFont="1" applyBorder="1" applyAlignment="1" applyProtection="1">
      <alignment horizontal="center"/>
    </xf>
    <xf numFmtId="0" fontId="13" fillId="0" borderId="0" xfId="3" applyFont="1" applyBorder="1" applyAlignment="1" applyProtection="1">
      <alignment horizontal="center" vertical="top" wrapText="1"/>
    </xf>
    <xf numFmtId="0" fontId="13" fillId="0" borderId="0" xfId="3" applyFont="1" applyBorder="1" applyAlignment="1" applyProtection="1">
      <alignment horizontal="center" wrapText="1"/>
    </xf>
    <xf numFmtId="38" fontId="13" fillId="0" borderId="6" xfId="3" applyNumberFormat="1" applyFont="1" applyBorder="1" applyAlignment="1" applyProtection="1">
      <alignment horizontal="center"/>
      <protection hidden="1"/>
    </xf>
    <xf numFmtId="38" fontId="13" fillId="0" borderId="10" xfId="3" applyNumberFormat="1" applyFont="1" applyFill="1" applyBorder="1" applyAlignment="1" applyProtection="1">
      <alignment horizontal="center"/>
      <protection locked="0"/>
    </xf>
    <xf numFmtId="38" fontId="13" fillId="0" borderId="11" xfId="3" applyNumberFormat="1" applyFont="1" applyFill="1" applyBorder="1" applyAlignment="1" applyProtection="1">
      <alignment horizontal="center"/>
      <protection locked="0"/>
    </xf>
    <xf numFmtId="38" fontId="13" fillId="0" borderId="10" xfId="3" applyNumberFormat="1" applyFont="1" applyFill="1" applyBorder="1" applyAlignment="1" applyProtection="1">
      <alignment horizontal="center"/>
    </xf>
    <xf numFmtId="0" fontId="13" fillId="0" borderId="0" xfId="3" applyFont="1" applyFill="1" applyProtection="1">
      <protection locked="0"/>
    </xf>
    <xf numFmtId="38" fontId="13" fillId="0" borderId="11" xfId="3" applyNumberFormat="1" applyFont="1" applyFill="1" applyBorder="1" applyAlignment="1" applyProtection="1">
      <alignment horizontal="center"/>
      <protection hidden="1"/>
    </xf>
    <xf numFmtId="38" fontId="13" fillId="0" borderId="10" xfId="3" applyNumberFormat="1" applyFont="1" applyFill="1" applyBorder="1" applyAlignment="1" applyProtection="1">
      <alignment horizontal="center"/>
      <protection hidden="1"/>
    </xf>
    <xf numFmtId="38" fontId="13" fillId="0" borderId="6" xfId="3" applyNumberFormat="1" applyFont="1" applyFill="1" applyBorder="1" applyAlignment="1" applyProtection="1">
      <alignment horizontal="center"/>
      <protection hidden="1"/>
    </xf>
    <xf numFmtId="38" fontId="13" fillId="0" borderId="6" xfId="3" applyNumberFormat="1" applyFont="1" applyFill="1" applyBorder="1" applyAlignment="1" applyProtection="1">
      <alignment horizontal="center"/>
      <protection locked="0"/>
    </xf>
    <xf numFmtId="38" fontId="13" fillId="0" borderId="0" xfId="3" applyNumberFormat="1" applyFont="1" applyFill="1" applyAlignment="1" applyProtection="1">
      <alignment horizontal="center"/>
    </xf>
    <xf numFmtId="10" fontId="13" fillId="0" borderId="10" xfId="0" applyNumberFormat="1" applyFont="1" applyFill="1" applyBorder="1" applyAlignment="1" applyProtection="1">
      <alignment horizontal="center"/>
    </xf>
    <xf numFmtId="38" fontId="13" fillId="0" borderId="10" xfId="3" applyNumberFormat="1" applyFont="1" applyBorder="1" applyAlignment="1" applyProtection="1">
      <alignment horizontal="center"/>
      <protection locked="0" hidden="1"/>
    </xf>
    <xf numFmtId="38" fontId="13" fillId="0" borderId="6" xfId="3" applyNumberFormat="1" applyFont="1" applyBorder="1" applyAlignment="1" applyProtection="1">
      <alignment horizontal="center"/>
      <protection locked="0" hidden="1"/>
    </xf>
    <xf numFmtId="38" fontId="13" fillId="0" borderId="6" xfId="3" applyNumberFormat="1" applyFont="1" applyFill="1" applyBorder="1" applyAlignment="1" applyProtection="1">
      <alignment horizontal="center"/>
      <protection locked="0" hidden="1"/>
    </xf>
    <xf numFmtId="10" fontId="11" fillId="0" borderId="12" xfId="0" applyNumberFormat="1" applyFont="1" applyFill="1" applyBorder="1" applyAlignment="1" applyProtection="1">
      <alignment horizontal="center"/>
    </xf>
    <xf numFmtId="40" fontId="11" fillId="0" borderId="0" xfId="3" applyNumberFormat="1" applyFont="1" applyBorder="1" applyAlignment="1" applyProtection="1">
      <alignment horizontal="center"/>
    </xf>
    <xf numFmtId="49" fontId="11" fillId="0" borderId="11" xfId="3" applyNumberFormat="1" applyFont="1" applyBorder="1" applyAlignment="1" applyProtection="1">
      <alignment horizontal="center"/>
    </xf>
    <xf numFmtId="49" fontId="11" fillId="0" borderId="10" xfId="3" applyNumberFormat="1" applyFont="1" applyBorder="1" applyAlignment="1" applyProtection="1">
      <alignment horizontal="center"/>
    </xf>
    <xf numFmtId="4" fontId="11" fillId="0" borderId="10" xfId="3" applyNumberFormat="1" applyFont="1" applyBorder="1" applyAlignment="1" applyProtection="1">
      <alignment horizontal="center"/>
    </xf>
    <xf numFmtId="4" fontId="11" fillId="0" borderId="6" xfId="3" applyNumberFormat="1" applyFont="1" applyBorder="1" applyAlignment="1" applyProtection="1">
      <alignment horizontal="center"/>
    </xf>
    <xf numFmtId="49" fontId="34" fillId="0" borderId="11" xfId="3" applyNumberFormat="1" applyFont="1" applyBorder="1" applyAlignment="1" applyProtection="1">
      <alignment horizontal="center"/>
    </xf>
    <xf numFmtId="49" fontId="34" fillId="0" borderId="6" xfId="3" applyNumberFormat="1" applyFont="1" applyBorder="1" applyAlignment="1" applyProtection="1">
      <alignment horizontal="center"/>
    </xf>
    <xf numFmtId="4" fontId="34" fillId="0" borderId="10" xfId="3" applyNumberFormat="1" applyFont="1" applyBorder="1" applyAlignment="1" applyProtection="1">
      <alignment horizontal="center"/>
    </xf>
    <xf numFmtId="4" fontId="34" fillId="0" borderId="6" xfId="3" applyNumberFormat="1" applyFont="1" applyBorder="1" applyAlignment="1" applyProtection="1">
      <alignment horizontal="center"/>
    </xf>
    <xf numFmtId="0" fontId="34" fillId="0" borderId="10" xfId="3" applyFont="1" applyBorder="1" applyAlignment="1" applyProtection="1">
      <alignment horizontal="center"/>
    </xf>
    <xf numFmtId="0" fontId="34" fillId="0" borderId="6" xfId="3" applyFont="1" applyBorder="1" applyAlignment="1" applyProtection="1">
      <alignment horizontal="center" vertical="top" wrapText="1"/>
    </xf>
    <xf numFmtId="0" fontId="34" fillId="0" borderId="10" xfId="3" applyFont="1" applyBorder="1" applyAlignment="1" applyProtection="1">
      <alignment horizontal="center" wrapText="1"/>
    </xf>
    <xf numFmtId="0" fontId="13" fillId="0" borderId="9" xfId="3" applyNumberFormat="1" applyFont="1" applyBorder="1" applyProtection="1">
      <protection locked="0"/>
    </xf>
    <xf numFmtId="0" fontId="13" fillId="0" borderId="9" xfId="3" applyNumberFormat="1" applyFont="1" applyFill="1" applyBorder="1" applyProtection="1">
      <protection locked="0"/>
    </xf>
    <xf numFmtId="0" fontId="0" fillId="0" borderId="9" xfId="0" applyNumberFormat="1" applyBorder="1" applyProtection="1"/>
    <xf numFmtId="0" fontId="14" fillId="0" borderId="0" xfId="3" applyFont="1" applyAlignment="1" applyProtection="1">
      <alignment horizontal="left" vertical="top" wrapText="1"/>
    </xf>
    <xf numFmtId="4" fontId="11" fillId="0" borderId="0" xfId="3" applyNumberFormat="1" applyFont="1" applyAlignment="1" applyProtection="1">
      <alignment horizontal="right"/>
    </xf>
    <xf numFmtId="0" fontId="11" fillId="0" borderId="0" xfId="3" applyFont="1" applyAlignment="1" applyProtection="1">
      <alignment horizontal="right"/>
    </xf>
    <xf numFmtId="0" fontId="11" fillId="0" borderId="0" xfId="3" applyFont="1" applyBorder="1" applyAlignment="1" applyProtection="1">
      <alignment horizontal="center"/>
    </xf>
    <xf numFmtId="0" fontId="13" fillId="0" borderId="0" xfId="0" applyNumberFormat="1" applyFont="1" applyFill="1" applyBorder="1" applyAlignment="1" applyProtection="1"/>
    <xf numFmtId="0" fontId="13" fillId="0" borderId="0" xfId="0" applyNumberFormat="1" applyFont="1" applyFill="1" applyBorder="1" applyAlignment="1" applyProtection="1">
      <alignment horizontal="center"/>
    </xf>
    <xf numFmtId="40" fontId="23" fillId="0" borderId="12" xfId="0" applyNumberFormat="1" applyFont="1" applyBorder="1" applyProtection="1"/>
    <xf numFmtId="40" fontId="10" fillId="0" borderId="12" xfId="0" applyNumberFormat="1" applyFont="1" applyBorder="1" applyProtection="1"/>
    <xf numFmtId="40" fontId="32" fillId="0" borderId="12" xfId="0" applyNumberFormat="1" applyFont="1" applyBorder="1" applyProtection="1"/>
    <xf numFmtId="40" fontId="23" fillId="0" borderId="0" xfId="2" applyNumberFormat="1" applyFont="1" applyBorder="1" applyProtection="1"/>
    <xf numFmtId="40" fontId="22" fillId="0" borderId="0" xfId="2" applyNumberFormat="1" applyFont="1" applyBorder="1" applyProtection="1"/>
    <xf numFmtId="40" fontId="32" fillId="0" borderId="0" xfId="2" applyNumberFormat="1" applyFont="1" applyBorder="1" applyProtection="1"/>
    <xf numFmtId="38" fontId="13" fillId="0" borderId="6" xfId="3" applyNumberFormat="1" applyFont="1" applyBorder="1" applyAlignment="1" applyProtection="1">
      <alignment horizontal="center"/>
    </xf>
    <xf numFmtId="49" fontId="13" fillId="0" borderId="9" xfId="3" applyNumberFormat="1" applyFont="1" applyFill="1" applyBorder="1" applyProtection="1"/>
    <xf numFmtId="38" fontId="13" fillId="0" borderId="11" xfId="3" applyNumberFormat="1" applyFont="1" applyFill="1" applyBorder="1" applyAlignment="1" applyProtection="1">
      <alignment horizontal="center"/>
    </xf>
    <xf numFmtId="0" fontId="13" fillId="0" borderId="0" xfId="3" applyFont="1" applyFill="1" applyProtection="1"/>
    <xf numFmtId="38" fontId="13" fillId="0" borderId="6" xfId="3" applyNumberFormat="1" applyFont="1" applyFill="1" applyBorder="1" applyAlignment="1" applyProtection="1">
      <alignment horizontal="center"/>
    </xf>
    <xf numFmtId="0" fontId="25" fillId="0" borderId="0" xfId="0" applyFont="1" applyAlignment="1">
      <alignment horizontal="center" vertical="top" wrapText="1"/>
    </xf>
    <xf numFmtId="0" fontId="1" fillId="0" borderId="0" xfId="0" applyFont="1" applyAlignment="1">
      <alignment horizontal="center" vertical="top" wrapText="1"/>
    </xf>
    <xf numFmtId="0" fontId="14" fillId="0" borderId="0" xfId="3" applyFont="1" applyAlignment="1" applyProtection="1">
      <alignment horizontal="left" vertical="top" wrapText="1"/>
    </xf>
    <xf numFmtId="0" fontId="24" fillId="0" borderId="2" xfId="3" applyFont="1" applyBorder="1" applyAlignment="1" applyProtection="1">
      <alignment horizontal="left"/>
      <protection locked="0"/>
    </xf>
    <xf numFmtId="4" fontId="11" fillId="0" borderId="0" xfId="3" applyNumberFormat="1" applyFont="1" applyAlignment="1" applyProtection="1">
      <alignment horizontal="right"/>
    </xf>
    <xf numFmtId="0" fontId="24" fillId="0" borderId="0" xfId="3" applyFont="1" applyBorder="1" applyAlignment="1" applyProtection="1">
      <alignment horizontal="right"/>
    </xf>
    <xf numFmtId="4" fontId="13" fillId="0" borderId="0" xfId="3" applyNumberFormat="1" applyFont="1" applyAlignment="1" applyProtection="1">
      <alignment horizontal="right"/>
    </xf>
    <xf numFmtId="0" fontId="35" fillId="0" borderId="0" xfId="3" applyFont="1" applyAlignment="1" applyProtection="1">
      <alignment horizontal="left" vertical="top" wrapText="1"/>
    </xf>
    <xf numFmtId="0" fontId="8" fillId="0" borderId="0" xfId="3" applyFont="1" applyAlignment="1" applyProtection="1">
      <alignment horizontal="left" vertical="top" wrapText="1"/>
    </xf>
    <xf numFmtId="0" fontId="2" fillId="0" borderId="2" xfId="0" applyFont="1" applyBorder="1" applyAlignment="1" applyProtection="1">
      <alignment horizontal="left"/>
      <protection locked="0"/>
    </xf>
    <xf numFmtId="0" fontId="2" fillId="0" borderId="2" xfId="0" applyFont="1" applyBorder="1" applyAlignment="1" applyProtection="1">
      <alignment horizontal="left"/>
    </xf>
    <xf numFmtId="0" fontId="11" fillId="0" borderId="0" xfId="3" applyFont="1" applyAlignment="1" applyProtection="1">
      <alignment horizontal="right"/>
    </xf>
    <xf numFmtId="0" fontId="24" fillId="0" borderId="2" xfId="3" applyFont="1" applyBorder="1" applyAlignment="1" applyProtection="1">
      <alignment horizontal="left"/>
    </xf>
    <xf numFmtId="49" fontId="13" fillId="0" borderId="0" xfId="3" applyNumberFormat="1" applyFont="1" applyBorder="1" applyAlignment="1" applyProtection="1">
      <alignment horizontal="center"/>
    </xf>
    <xf numFmtId="49" fontId="12" fillId="0" borderId="2" xfId="3" applyNumberFormat="1" applyFont="1" applyBorder="1" applyAlignment="1" applyProtection="1">
      <alignment horizontal="left"/>
    </xf>
    <xf numFmtId="49" fontId="13" fillId="0" borderId="0" xfId="3" applyNumberFormat="1" applyFont="1" applyBorder="1" applyAlignment="1" applyProtection="1">
      <alignment horizontal="center"/>
      <protection locked="0"/>
    </xf>
    <xf numFmtId="0" fontId="11" fillId="0" borderId="10" xfId="3" applyFont="1" applyFill="1" applyBorder="1" applyAlignment="1" applyProtection="1">
      <alignment horizontal="center" vertical="center" wrapText="1"/>
    </xf>
    <xf numFmtId="4" fontId="11" fillId="0" borderId="10" xfId="3" applyNumberFormat="1" applyFont="1" applyFill="1" applyBorder="1" applyAlignment="1" applyProtection="1">
      <alignment horizontal="center" vertical="center" wrapText="1"/>
    </xf>
    <xf numFmtId="0" fontId="11" fillId="0" borderId="11" xfId="3" applyFont="1" applyFill="1" applyBorder="1" applyAlignment="1" applyProtection="1">
      <alignment horizontal="center" vertical="center" wrapText="1"/>
    </xf>
  </cellXfs>
  <cellStyles count="4">
    <cellStyle name="Comma" xfId="1" builtinId="3"/>
    <cellStyle name="Currency" xfId="2" builtinId="4"/>
    <cellStyle name="Normal" xfId="0" builtinId="0"/>
    <cellStyle name="Normal 2" xfId="3"/>
  </cellStyles>
  <dxfs count="215">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14"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1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165" formatCode="#,##0.000_);[Red]\(#,##0.000\)"/>
      <border diagonalUp="0" diagonalDown="0">
        <left style="thin">
          <color auto="1"/>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1"/>
    </dxf>
    <dxf>
      <font>
        <b val="0"/>
        <i val="0"/>
        <strike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Franklin Gothic Book"/>
        <scheme val="none"/>
      </font>
      <numFmt numFmtId="30" formatCode="@"/>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border>
    </dxf>
    <dxf>
      <protection locked="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strike val="0"/>
        <outline val="0"/>
        <shadow val="0"/>
        <u val="none"/>
        <vertAlign val="baseline"/>
        <sz val="10"/>
        <color theme="1"/>
        <name val="Franklin Gothic Book"/>
        <scheme val="none"/>
      </font>
      <numFmt numFmtId="6" formatCode="#,##0_);[Red]\(#,##0\)"/>
      <protection locked="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strike val="0"/>
        <outline val="0"/>
        <shadow val="0"/>
        <u val="none"/>
        <vertAlign val="baseline"/>
        <sz val="10"/>
        <color theme="1"/>
        <name val="Franklin Gothic Book"/>
        <scheme val="none"/>
      </font>
      <numFmt numFmtId="6" formatCode="#,##0_);[Red]\(#,##0\)"/>
      <protection locked="1"/>
    </dxf>
    <dxf>
      <font>
        <b val="0"/>
        <i val="0"/>
        <strike val="0"/>
        <condense val="0"/>
        <extend val="0"/>
        <outline val="0"/>
        <shadow val="0"/>
        <u val="none"/>
        <vertAlign val="baseline"/>
        <sz val="10"/>
        <color theme="1"/>
        <name val="Franklin Gothic Book"/>
        <scheme val="none"/>
      </font>
      <numFmt numFmtId="14" formatCode="0.00%"/>
      <border diagonalUp="0" diagonalDown="0">
        <left style="thin">
          <color auto="1"/>
        </left>
        <right style="thin">
          <color auto="1"/>
        </right>
        <top style="thin">
          <color auto="1"/>
        </top>
        <bottom style="thin">
          <color auto="1"/>
        </bottom>
      </border>
      <protection locked="1" hidden="1"/>
    </dxf>
    <dxf>
      <font>
        <strike val="0"/>
        <outline val="0"/>
        <shadow val="0"/>
        <u val="none"/>
        <vertAlign val="baseline"/>
        <sz val="10"/>
        <color theme="1"/>
        <name val="Franklin Gothic Book"/>
        <scheme val="none"/>
      </font>
      <numFmt numFmtId="14" formatCode="0.00%"/>
      <border diagonalUp="0" diagonalDown="0">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alignment horizontal="right" vertical="bottom" textRotation="0" wrapText="0" indent="0" justifyLastLine="0" shrinkToFit="0" readingOrder="0"/>
      <protection locked="1" hidden="1"/>
    </dxf>
    <dxf>
      <font>
        <strike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0"/>
        <color theme="1"/>
        <name val="Franklin Gothic Book"/>
        <scheme val="none"/>
      </font>
      <alignment horizontal="right" vertical="bottom" textRotation="0" wrapText="0" indent="0" justifyLastLine="0" shrinkToFit="0" readingOrder="0"/>
      <protection locked="1" hidden="0"/>
    </dxf>
    <dxf>
      <font>
        <b/>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2"/>
        <color theme="1"/>
        <name val="Franklin Gothic Book"/>
        <scheme val="none"/>
      </font>
      <numFmt numFmtId="30" formatCode="@"/>
      <border diagonalUp="0" diagonalDown="0">
        <left/>
        <right style="thin">
          <color auto="1"/>
        </right>
        <top style="thin">
          <color auto="1"/>
        </top>
        <bottom style="thin">
          <color auto="1"/>
        </bottom>
        <vertical/>
        <horizontal/>
      </border>
      <protection locked="1" hidden="0"/>
    </dxf>
    <dxf>
      <protection locked="1"/>
    </dxf>
    <dxf>
      <border diagonalUp="0" diagonalDown="0">
        <left style="thin">
          <color auto="1"/>
        </left>
        <right style="thin">
          <color auto="1"/>
        </right>
        <top style="thin">
          <color auto="1"/>
        </top>
        <bottom style="thin">
          <color auto="1"/>
        </bottom>
      </border>
    </dxf>
    <dxf>
      <protection locked="1"/>
    </dxf>
    <dxf>
      <protection locked="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0"/>
    </dxf>
    <dxf>
      <font>
        <b val="0"/>
        <i val="0"/>
        <strike val="0"/>
        <outline val="0"/>
        <shadow val="0"/>
        <u val="none"/>
        <vertAlign val="baseline"/>
        <sz val="10"/>
        <color theme="1"/>
        <name val="Franklin Gothic Book"/>
        <scheme val="none"/>
      </font>
      <numFmt numFmtId="6" formatCode="#,##0_);[Red]\(#,##0\)"/>
      <alignment horizontal="center" textRotation="0" indent="0" justifyLastLine="0" shrinkToFit="0" readingOrder="0"/>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0"/>
    </dxf>
    <dxf>
      <font>
        <b val="0"/>
        <i val="0"/>
        <strike val="0"/>
        <outline val="0"/>
        <shadow val="0"/>
        <u val="none"/>
        <vertAlign val="baseline"/>
        <sz val="10"/>
        <color theme="1"/>
        <name val="Franklin Gothic Book"/>
        <scheme val="none"/>
      </font>
      <numFmt numFmtId="6" formatCode="#,##0_);[Red]\(#,##0\)"/>
      <alignment horizontal="center" textRotation="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14" formatCode="0.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outline val="0"/>
        <shadow val="0"/>
        <u val="none"/>
        <vertAlign val="baseline"/>
        <sz val="10"/>
        <color theme="1"/>
        <name val="Franklin Gothic Book"/>
        <scheme val="none"/>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left/>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left style="thin">
          <color auto="1"/>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right" vertical="bottom" textRotation="0" wrapText="0" indent="0" justifyLastLine="0" shrinkToFit="0" readingOrder="0"/>
      <protection locked="1" hidden="1"/>
    </dxf>
    <dxf>
      <font>
        <b val="0"/>
        <i val="0"/>
        <strike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30" formatCode="@"/>
      <border diagonalUp="0" diagonalDown="0">
        <left/>
        <right style="thin">
          <color auto="1"/>
        </right>
        <top style="thin">
          <color auto="1"/>
        </top>
        <bottom style="thin">
          <color auto="1"/>
        </bottom>
        <vertical/>
        <horizontal/>
      </border>
      <protection locked="1" hidden="0"/>
    </dxf>
    <dxf>
      <protection locked="1"/>
    </dxf>
    <dxf>
      <border outline="0">
        <left style="thin">
          <color auto="1"/>
        </left>
        <right style="thin">
          <color auto="1"/>
        </right>
      </border>
    </dxf>
    <dxf>
      <protection locked="1"/>
    </dxf>
    <dxf>
      <protection locked="1"/>
    </dxf>
    <dxf>
      <font>
        <b val="0"/>
        <i val="0"/>
        <strike val="0"/>
        <outline val="0"/>
        <shadow val="0"/>
        <u val="none"/>
        <vertAlign val="baseline"/>
        <sz val="10"/>
        <color theme="1"/>
        <name val="Franklin Gothic Book"/>
        <scheme val="none"/>
      </font>
      <numFmt numFmtId="6" formatCode="#,##0_);[Red]\(#,##0\)"/>
      <alignment horizontal="center" textRotation="0" indent="0" justifyLastLine="0" shrinkToFit="0" readingOrder="0"/>
      <protection locked="1" hidden="0"/>
    </dxf>
    <dxf>
      <font>
        <b val="0"/>
        <i val="0"/>
        <strike val="0"/>
        <outline val="0"/>
        <shadow val="0"/>
        <u val="none"/>
        <vertAlign val="baseline"/>
        <sz val="10"/>
        <color theme="1"/>
        <name val="Franklin Gothic Book"/>
        <scheme val="none"/>
      </font>
      <numFmt numFmtId="6" formatCode="#,##0_);[Red]\(#,##0\)"/>
      <alignment horizontal="center" textRotation="0" indent="0" justifyLastLine="0" shrinkToFit="0" readingOrder="0"/>
      <protection locked="1" hidden="0"/>
    </dxf>
    <dxf>
      <font>
        <b val="0"/>
        <i val="0"/>
        <strike val="0"/>
        <outline val="0"/>
        <shadow val="0"/>
        <u val="none"/>
        <vertAlign val="baseline"/>
        <sz val="10"/>
        <color theme="1"/>
        <name val="Franklin Gothic Book"/>
        <scheme val="none"/>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right/>
        <top style="thin">
          <color indexed="64"/>
        </top>
        <bottom style="thin">
          <color indexed="64"/>
        </bottom>
        <vertical/>
        <horizontal/>
      </border>
      <protection locked="0" hidden="1"/>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0"/>
        <color theme="1"/>
        <name val="Franklin Gothic Book"/>
        <scheme val="none"/>
      </font>
      <numFmt numFmtId="6" formatCode="#,##0_);[Red]\(#,##0\)"/>
      <alignment horizontal="center" textRotation="0" indent="0" justifyLastLine="0" shrinkToFit="0" readingOrder="0"/>
      <border diagonalUp="0" diagonalDown="0" outline="0">
        <left style="thin">
          <color auto="1"/>
        </left>
        <right/>
        <top style="thin">
          <color auto="1"/>
        </top>
        <bottom style="thin">
          <color auto="1"/>
        </bottom>
      </border>
      <protection locked="1" hidden="1"/>
    </dxf>
    <dxf>
      <font>
        <b val="0"/>
        <i val="0"/>
        <strike val="0"/>
        <outline val="0"/>
        <shadow val="0"/>
        <u val="none"/>
        <vertAlign val="baseline"/>
        <sz val="10"/>
        <color theme="1"/>
        <name val="Franklin Gothic Book"/>
        <scheme val="none"/>
      </font>
      <protection locked="0"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30" formatCode="@"/>
      <border diagonalUp="0" diagonalDown="0">
        <left/>
        <right style="thin">
          <color auto="1"/>
        </right>
        <top style="thin">
          <color auto="1"/>
        </top>
        <bottom style="thin">
          <color auto="1"/>
        </bottom>
        <vertical/>
        <horizontal/>
      </border>
      <protection locked="0" hidden="0"/>
    </dxf>
    <dxf>
      <border outline="0">
        <left style="thin">
          <color auto="1"/>
        </left>
        <right style="thin">
          <color auto="1"/>
        </right>
      </border>
    </dxf>
    <dxf>
      <protection locked="1"/>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indexed="64"/>
        </right>
        <top/>
        <bottom style="thin">
          <color indexed="64"/>
        </bottom>
        <vertical/>
        <horizontal/>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protection locked="1" hidden="0"/>
    </dxf>
    <dxf>
      <protection locked="1" hidden="0"/>
    </dxf>
    <dxf>
      <border outline="0">
        <left style="thin">
          <color rgb="FF000000"/>
        </left>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0" formatCode="General"/>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style="thin">
          <color auto="1"/>
        </top>
        <bottom style="thin">
          <color auto="1"/>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border>
      <protection locked="1" hidden="0"/>
    </dxf>
    <dxf>
      <protection locked="1" hidden="0"/>
    </dxf>
    <dxf>
      <border outline="0">
        <left style="thin">
          <color rgb="FF000000"/>
        </left>
        <bottom style="thin">
          <color rgb="FF000000"/>
        </bottom>
      </border>
    </dxf>
    <dxf>
      <protection locked="1" hidden="0"/>
    </dxf>
    <dxf>
      <fill>
        <patternFill patternType="solid">
          <fgColor indexed="64"/>
          <bgColor theme="0" tint="-4.9989318521683403E-2"/>
        </patternFill>
      </fill>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indexed="64"/>
        </right>
        <top/>
        <bottom style="thin">
          <color indexed="64"/>
        </bottom>
        <vertical/>
        <horizontal/>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protection locked="1" hidden="0"/>
    </dxf>
    <dxf>
      <protection locked="1" hidden="0"/>
    </dxf>
    <dxf>
      <border outline="0">
        <left style="thin">
          <color rgb="FF000000"/>
        </left>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theme="0" tint="-4.9989318521683403E-2"/>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strike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indexed="64"/>
        </right>
        <top/>
        <bottom style="thin">
          <color indexed="64"/>
        </bottom>
      </border>
    </dxf>
    <dxf>
      <font>
        <b/>
        <i val="0"/>
        <strike val="0"/>
        <condense val="0"/>
        <extend val="0"/>
        <outline val="0"/>
        <shadow val="0"/>
        <u val="none"/>
        <vertAlign val="baseline"/>
        <sz val="10"/>
        <color theme="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dxf>
    <dxf>
      <font>
        <strike val="0"/>
        <outline val="0"/>
        <shadow val="0"/>
        <u val="none"/>
        <vertAlign val="baseline"/>
        <sz val="10"/>
        <color rgb="FF00B050"/>
        <name val="Arial"/>
        <scheme val="none"/>
      </font>
      <protection locked="1" hidden="0"/>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B050"/>
        <name val="Arial"/>
        <scheme val="none"/>
      </font>
      <numFmt numFmtId="8" formatCode="#,##0.00_);[Red]\(#,##0.0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1"/>
    </dxf>
    <dxf>
      <border>
        <left style="thin">
          <color indexed="64"/>
        </left>
        <right style="thin">
          <color indexed="64"/>
        </right>
      </border>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1"/>
    </dxf>
    <dxf>
      <font>
        <strike val="0"/>
        <outline val="0"/>
        <shadow val="0"/>
        <u val="none"/>
        <vertAlign val="baseline"/>
        <sz val="10"/>
        <color rgb="FF00B050"/>
        <name val="Arial"/>
        <scheme val="none"/>
      </font>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B050"/>
        <name val="Arial"/>
        <scheme val="none"/>
      </font>
      <numFmt numFmtId="0" formatCode="General"/>
      <border diagonalUp="0" diagonalDown="0">
        <left/>
        <right style="thin">
          <color auto="1"/>
        </right>
        <top/>
        <bottom/>
      </border>
      <protection locked="1"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style="thin">
          <color auto="1"/>
        </top>
        <bottom style="thin">
          <color auto="1"/>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10"/>
        <color auto="1"/>
        <name val="Arial"/>
        <scheme val="none"/>
      </font>
      <border diagonalUp="0" diagonalDown="0" outline="0">
        <left/>
        <right/>
        <top style="thin">
          <color auto="1"/>
        </top>
        <bottom style="thin">
          <color auto="1"/>
        </bottom>
      </border>
    </dxf>
    <dxf>
      <border outline="0">
        <left style="thin">
          <color indexed="64"/>
        </left>
        <bottom style="thin">
          <color indexed="64"/>
        </bottom>
      </border>
    </dxf>
    <dxf>
      <fill>
        <patternFill patternType="solid">
          <fgColor indexed="64"/>
          <bgColor theme="0" tint="-4.9989318521683403E-2"/>
        </patternFill>
      </fill>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1"/>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indexed="64"/>
        </right>
        <top/>
        <bottom style="thin">
          <color indexed="64"/>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dxf>
    <dxf>
      <font>
        <b/>
        <i val="0"/>
        <strike val="0"/>
        <condense val="0"/>
        <extend val="0"/>
        <outline val="0"/>
        <shadow val="0"/>
        <u val="none"/>
        <vertAlign val="baseline"/>
        <sz val="10"/>
        <color auto="1"/>
        <name val="Arial"/>
        <scheme val="none"/>
      </font>
      <border diagonalUp="0" diagonalDown="0" outline="0">
        <left/>
        <right/>
        <top style="thin">
          <color auto="1"/>
        </top>
        <bottom style="thin">
          <color auto="1"/>
        </bottom>
      </border>
    </dxf>
    <dxf>
      <protection locked="1"/>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theme="0" tint="-4.9989318521683403E-2"/>
        </patternFill>
      </fill>
      <alignment horizontal="center" vertical="bottom" textRotation="0" wrapText="1" indent="0" justifyLastLine="0" shrinkToFit="0" readingOrder="0"/>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13" formatCode="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165" formatCode="#,##0.000_);[Red]\(#,##0.000\)"/>
      <border diagonalUp="0" diagonalDown="0">
        <left style="thin">
          <color auto="1"/>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fill>
        <patternFill patternType="none">
          <fgColor indexed="64"/>
          <bgColor indexed="65"/>
        </patternFill>
      </fill>
      <alignment horizontal="right" vertical="bottom" textRotation="0" wrapText="0" indent="0" justifyLastLine="0" shrinkToFit="0" readingOrder="0"/>
      <protection locked="1" hidden="1"/>
    </dxf>
    <dxf>
      <font>
        <b val="0"/>
        <i val="0"/>
        <strike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0"/>
        <color theme="1"/>
        <name val="Franklin Gothic Book"/>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30" formatCode="@"/>
      <border diagonalUp="0" diagonalDown="0">
        <left/>
        <right style="thin">
          <color auto="1"/>
        </right>
        <top style="thin">
          <color auto="1"/>
        </top>
        <bottom style="thin">
          <color auto="1"/>
        </bottom>
        <vertical/>
        <horizontal/>
      </border>
      <protection locked="1" hidden="0"/>
    </dxf>
    <dxf>
      <protection locked="1"/>
    </dxf>
    <dxf>
      <border outline="0">
        <left style="thin">
          <color auto="1"/>
        </left>
        <right style="thin">
          <color auto="1"/>
        </right>
      </border>
    </dxf>
    <dxf>
      <protection locked="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45</xdr:row>
      <xdr:rowOff>0</xdr:rowOff>
    </xdr:from>
    <xdr:to>
      <xdr:col>8</xdr:col>
      <xdr:colOff>304800</xdr:colOff>
      <xdr:row>46</xdr:row>
      <xdr:rowOff>142876</xdr:rowOff>
    </xdr:to>
    <xdr:sp macro="" textlink="">
      <xdr:nvSpPr>
        <xdr:cNvPr id="2055" name="AutoShape 7" descr="http://dmp.truoptik.com/tr.gif?ak=0810d65f&amp;dm=www.mrexcel.com&amp;fck=3A051EAC562B7E55A25538410264C084"/>
        <xdr:cNvSpPr>
          <a:spLocks noChangeAspect="1" noChangeArrowheads="1"/>
        </xdr:cNvSpPr>
      </xdr:nvSpPr>
      <xdr:spPr bwMode="auto">
        <a:xfrm>
          <a:off x="10029825"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314325</xdr:colOff>
      <xdr:row>45</xdr:row>
      <xdr:rowOff>0</xdr:rowOff>
    </xdr:from>
    <xdr:to>
      <xdr:col>8</xdr:col>
      <xdr:colOff>619125</xdr:colOff>
      <xdr:row>46</xdr:row>
      <xdr:rowOff>142876</xdr:rowOff>
    </xdr:to>
    <xdr:sp macro="" textlink="">
      <xdr:nvSpPr>
        <xdr:cNvPr id="2056" name="AutoShape 8" descr="http://dmp.truoptik.com/tr.gif?ak=0810d65f&amp;dm=www.mrexcel.com&amp;fck=3A051EAC562B7E55A25538410264C084"/>
        <xdr:cNvSpPr>
          <a:spLocks noChangeAspect="1" noChangeArrowheads="1"/>
        </xdr:cNvSpPr>
      </xdr:nvSpPr>
      <xdr:spPr bwMode="auto">
        <a:xfrm>
          <a:off x="10344150"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42</xdr:row>
      <xdr:rowOff>0</xdr:rowOff>
    </xdr:from>
    <xdr:ext cx="304800" cy="304800"/>
    <xdr:sp macro="" textlink="">
      <xdr:nvSpPr>
        <xdr:cNvPr id="8" name="AutoShape 7" descr="http://dmp.truoptik.com/tr.gif?ak=0810d65f&amp;dm=www.mrexcel.com&amp;fck=3A051EAC562B7E55A25538410264C084"/>
        <xdr:cNvSpPr>
          <a:spLocks noChangeAspect="1" noChangeArrowheads="1"/>
        </xdr:cNvSpPr>
      </xdr:nvSpPr>
      <xdr:spPr bwMode="auto">
        <a:xfrm>
          <a:off x="10029825"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9" name="AutoShape 8" descr="http://dmp.truoptik.com/tr.gif?ak=0810d65f&amp;dm=www.mrexcel.com&amp;fck=3A051EAC562B7E55A25538410264C084"/>
        <xdr:cNvSpPr>
          <a:spLocks noChangeAspect="1" noChangeArrowheads="1"/>
        </xdr:cNvSpPr>
      </xdr:nvSpPr>
      <xdr:spPr bwMode="auto">
        <a:xfrm>
          <a:off x="10344150"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1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1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3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3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4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4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6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6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2"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3"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0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0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1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1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1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1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0"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1"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3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3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3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3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4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4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5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5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5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5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74"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75"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8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8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84"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85"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0"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1"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4"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5"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0"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1"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4"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5"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6"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7"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08"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09"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0"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1"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2"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3"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4"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5"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16"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17"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18"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19"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20"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21"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22"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23"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4"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5"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6"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7"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8"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9"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30"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31"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2"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3"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4"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5"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6"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7"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8"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9"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0"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41"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2"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43"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4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4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2"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3"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5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5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5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5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6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6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8"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9"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8"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9"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90"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91"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00"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01"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02"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03"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1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1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4"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5"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8"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9"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20"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21"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2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2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8"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9"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0"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1"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4"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5"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4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4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3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3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3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3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4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4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4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4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4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4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4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4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4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4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4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4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5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5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5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5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6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6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6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6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6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6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6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6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6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6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6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6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7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7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7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7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8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8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8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8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9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9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0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0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0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0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11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11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1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1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2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2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2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2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13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13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3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3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4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4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4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4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15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15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5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5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6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6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6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6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17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17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7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7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8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8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8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8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9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19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9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19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0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0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0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0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1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1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1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2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2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2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2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23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23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3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3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4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4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25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25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5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5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6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6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6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6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7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7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7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7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7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7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7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7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7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7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7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7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7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7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8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8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8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8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9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9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9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9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9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9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9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9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9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9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9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9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30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30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0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0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1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1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1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1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32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32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2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2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8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8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3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3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3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3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34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34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4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4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5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5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5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5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7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7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7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7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8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8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9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9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5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5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5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5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0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0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0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0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1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1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2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2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3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3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3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3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6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6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6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6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66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66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6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6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4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4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4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4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5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5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5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5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5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5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6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6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6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6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7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7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7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7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7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7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8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8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8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8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8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8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9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9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9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9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9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9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79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79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0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0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0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0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0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0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1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1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1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1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1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1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1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1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2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2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2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2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2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2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2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2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3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3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3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3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3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3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4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4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4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4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4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4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4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4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4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4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5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5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52"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53"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54"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55"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56"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57"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58"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59"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860" name="AutoShape 7" descr="http://dmp.truoptik.com/tr.gif?ak=0810d65f&amp;dm=www.mrexcel.com&amp;fck=3A051EAC562B7E55A25538410264C084"/>
        <xdr:cNvSpPr>
          <a:spLocks noChangeAspect="1" noChangeArrowheads="1"/>
        </xdr:cNvSpPr>
      </xdr:nvSpPr>
      <xdr:spPr bwMode="auto">
        <a:xfrm>
          <a:off x="0"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861" name="AutoShape 8" descr="http://dmp.truoptik.com/tr.gif?ak=0810d65f&amp;dm=www.mrexcel.com&amp;fck=3A051EAC562B7E55A25538410264C084"/>
        <xdr:cNvSpPr>
          <a:spLocks noChangeAspect="1" noChangeArrowheads="1"/>
        </xdr:cNvSpPr>
      </xdr:nvSpPr>
      <xdr:spPr bwMode="auto">
        <a:xfrm>
          <a:off x="314325" y="74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6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6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6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6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6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6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6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6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7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7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7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7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7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7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7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7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7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7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8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8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8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8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8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8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8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8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8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8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9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9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9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9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9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9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9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9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89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89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0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0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0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0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0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0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0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0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0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0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1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1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1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1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1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1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1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1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1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1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2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2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2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2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2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2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2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2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2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2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3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3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3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3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3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3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36"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37"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38"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39"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40"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41"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42"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43"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944" name="AutoShape 7" descr="http://dmp.truoptik.com/tr.gif?ak=0810d65f&amp;dm=www.mrexcel.com&amp;fck=3A051EAC562B7E55A25538410264C084"/>
        <xdr:cNvSpPr>
          <a:spLocks noChangeAspect="1" noChangeArrowheads="1"/>
        </xdr:cNvSpPr>
      </xdr:nvSpPr>
      <xdr:spPr bwMode="auto">
        <a:xfrm>
          <a:off x="0"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945" name="AutoShape 8" descr="http://dmp.truoptik.com/tr.gif?ak=0810d65f&amp;dm=www.mrexcel.com&amp;fck=3A051EAC562B7E55A25538410264C084"/>
        <xdr:cNvSpPr>
          <a:spLocks noChangeAspect="1" noChangeArrowheads="1"/>
        </xdr:cNvSpPr>
      </xdr:nvSpPr>
      <xdr:spPr bwMode="auto">
        <a:xfrm>
          <a:off x="314325" y="757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142875</xdr:rowOff>
    </xdr:to>
    <xdr:sp macro="" textlink="">
      <xdr:nvSpPr>
        <xdr:cNvPr id="2" name="AutoShape 7" descr="http://dmp.truoptik.com/tr.gif?ak=0810d65f&amp;dm=www.mrexcel.com&amp;fck=3A051EAC562B7E55A25538410264C084"/>
        <xdr:cNvSpPr>
          <a:spLocks noChangeAspect="1" noChangeArrowheads="1"/>
        </xdr:cNvSpPr>
      </xdr:nvSpPr>
      <xdr:spPr bwMode="auto">
        <a:xfrm>
          <a:off x="10020300" y="120167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314325</xdr:colOff>
      <xdr:row>44</xdr:row>
      <xdr:rowOff>0</xdr:rowOff>
    </xdr:from>
    <xdr:to>
      <xdr:col>8</xdr:col>
      <xdr:colOff>619125</xdr:colOff>
      <xdr:row>45</xdr:row>
      <xdr:rowOff>142875</xdr:rowOff>
    </xdr:to>
    <xdr:sp macro="" textlink="">
      <xdr:nvSpPr>
        <xdr:cNvPr id="3" name="AutoShape 8" descr="http://dmp.truoptik.com/tr.gif?ak=0810d65f&amp;dm=www.mrexcel.com&amp;fck=3A051EAC562B7E55A25538410264C084"/>
        <xdr:cNvSpPr>
          <a:spLocks noChangeAspect="1" noChangeArrowheads="1"/>
        </xdr:cNvSpPr>
      </xdr:nvSpPr>
      <xdr:spPr bwMode="auto">
        <a:xfrm>
          <a:off x="10334625" y="120167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41</xdr:row>
      <xdr:rowOff>0</xdr:rowOff>
    </xdr:from>
    <xdr:ext cx="304800" cy="304800"/>
    <xdr:sp macro="" textlink="">
      <xdr:nvSpPr>
        <xdr:cNvPr id="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8"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9"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0" name="AutoShape 7" descr="http://dmp.truoptik.com/tr.gif?ak=0810d65f&amp;dm=www.mrexcel.com&amp;fck=3A051EAC562B7E55A25538410264C084"/>
        <xdr:cNvSpPr>
          <a:spLocks noChangeAspect="1" noChangeArrowheads="1"/>
        </xdr:cNvSpPr>
      </xdr:nvSpPr>
      <xdr:spPr bwMode="auto">
        <a:xfrm>
          <a:off x="0"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1" name="AutoShape 8" descr="http://dmp.truoptik.com/tr.gif?ak=0810d65f&amp;dm=www.mrexcel.com&amp;fck=3A051EAC562B7E55A25538410264C084"/>
        <xdr:cNvSpPr>
          <a:spLocks noChangeAspect="1" noChangeArrowheads="1"/>
        </xdr:cNvSpPr>
      </xdr:nvSpPr>
      <xdr:spPr bwMode="auto">
        <a:xfrm>
          <a:off x="314325"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2" name="AutoShape 7" descr="http://dmp.truoptik.com/tr.gif?ak=0810d65f&amp;dm=www.mrexcel.com&amp;fck=3A051EAC562B7E55A25538410264C084"/>
        <xdr:cNvSpPr>
          <a:spLocks noChangeAspect="1" noChangeArrowheads="1"/>
        </xdr:cNvSpPr>
      </xdr:nvSpPr>
      <xdr:spPr bwMode="auto">
        <a:xfrm>
          <a:off x="0"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3" name="AutoShape 8" descr="http://dmp.truoptik.com/tr.gif?ak=0810d65f&amp;dm=www.mrexcel.com&amp;fck=3A051EAC562B7E55A25538410264C084"/>
        <xdr:cNvSpPr>
          <a:spLocks noChangeAspect="1" noChangeArrowheads="1"/>
        </xdr:cNvSpPr>
      </xdr:nvSpPr>
      <xdr:spPr bwMode="auto">
        <a:xfrm>
          <a:off x="314325"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4" name="AutoShape 7" descr="http://dmp.truoptik.com/tr.gif?ak=0810d65f&amp;dm=www.mrexcel.com&amp;fck=3A051EAC562B7E55A25538410264C084"/>
        <xdr:cNvSpPr>
          <a:spLocks noChangeAspect="1" noChangeArrowheads="1"/>
        </xdr:cNvSpPr>
      </xdr:nvSpPr>
      <xdr:spPr bwMode="auto">
        <a:xfrm>
          <a:off x="0"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5" name="AutoShape 8" descr="http://dmp.truoptik.com/tr.gif?ak=0810d65f&amp;dm=www.mrexcel.com&amp;fck=3A051EAC562B7E55A25538410264C084"/>
        <xdr:cNvSpPr>
          <a:spLocks noChangeAspect="1" noChangeArrowheads="1"/>
        </xdr:cNvSpPr>
      </xdr:nvSpPr>
      <xdr:spPr bwMode="auto">
        <a:xfrm>
          <a:off x="314325"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6" name="AutoShape 7" descr="http://dmp.truoptik.com/tr.gif?ak=0810d65f&amp;dm=www.mrexcel.com&amp;fck=3A051EAC562B7E55A25538410264C084"/>
        <xdr:cNvSpPr>
          <a:spLocks noChangeAspect="1" noChangeArrowheads="1"/>
        </xdr:cNvSpPr>
      </xdr:nvSpPr>
      <xdr:spPr bwMode="auto">
        <a:xfrm>
          <a:off x="0"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7" name="AutoShape 8" descr="http://dmp.truoptik.com/tr.gif?ak=0810d65f&amp;dm=www.mrexcel.com&amp;fck=3A051EAC562B7E55A25538410264C084"/>
        <xdr:cNvSpPr>
          <a:spLocks noChangeAspect="1" noChangeArrowheads="1"/>
        </xdr:cNvSpPr>
      </xdr:nvSpPr>
      <xdr:spPr bwMode="auto">
        <a:xfrm>
          <a:off x="314325"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18" name="AutoShape 7" descr="http://dmp.truoptik.com/tr.gif?ak=0810d65f&amp;dm=www.mrexcel.com&amp;fck=3A051EAC562B7E55A25538410264C084"/>
        <xdr:cNvSpPr>
          <a:spLocks noChangeAspect="1" noChangeArrowheads="1"/>
        </xdr:cNvSpPr>
      </xdr:nvSpPr>
      <xdr:spPr bwMode="auto">
        <a:xfrm>
          <a:off x="0"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19" name="AutoShape 8" descr="http://dmp.truoptik.com/tr.gif?ak=0810d65f&amp;dm=www.mrexcel.com&amp;fck=3A051EAC562B7E55A25538410264C084"/>
        <xdr:cNvSpPr>
          <a:spLocks noChangeAspect="1" noChangeArrowheads="1"/>
        </xdr:cNvSpPr>
      </xdr:nvSpPr>
      <xdr:spPr bwMode="auto">
        <a:xfrm>
          <a:off x="314325"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0" name="AutoShape 7" descr="http://dmp.truoptik.com/tr.gif?ak=0810d65f&amp;dm=www.mrexcel.com&amp;fck=3A051EAC562B7E55A25538410264C084"/>
        <xdr:cNvSpPr>
          <a:spLocks noChangeAspect="1" noChangeArrowheads="1"/>
        </xdr:cNvSpPr>
      </xdr:nvSpPr>
      <xdr:spPr bwMode="auto">
        <a:xfrm>
          <a:off x="0"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1" name="AutoShape 8" descr="http://dmp.truoptik.com/tr.gif?ak=0810d65f&amp;dm=www.mrexcel.com&amp;fck=3A051EAC562B7E55A25538410264C084"/>
        <xdr:cNvSpPr>
          <a:spLocks noChangeAspect="1" noChangeArrowheads="1"/>
        </xdr:cNvSpPr>
      </xdr:nvSpPr>
      <xdr:spPr bwMode="auto">
        <a:xfrm>
          <a:off x="314325"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7" descr="http://dmp.truoptik.com/tr.gif?ak=0810d65f&amp;dm=www.mrexcel.com&amp;fck=3A051EAC562B7E55A25538410264C084"/>
        <xdr:cNvSpPr>
          <a:spLocks noChangeAspect="1" noChangeArrowheads="1"/>
        </xdr:cNvSpPr>
      </xdr:nvSpPr>
      <xdr:spPr bwMode="auto">
        <a:xfrm>
          <a:off x="0"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3" name="AutoShape 8" descr="http://dmp.truoptik.com/tr.gif?ak=0810d65f&amp;dm=www.mrexcel.com&amp;fck=3A051EAC562B7E55A25538410264C084"/>
        <xdr:cNvSpPr>
          <a:spLocks noChangeAspect="1" noChangeArrowheads="1"/>
        </xdr:cNvSpPr>
      </xdr:nvSpPr>
      <xdr:spPr bwMode="auto">
        <a:xfrm>
          <a:off x="314325"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 name="AutoShape 7" descr="http://dmp.truoptik.com/tr.gif?ak=0810d65f&amp;dm=www.mrexcel.com&amp;fck=3A051EAC562B7E55A25538410264C084"/>
        <xdr:cNvSpPr>
          <a:spLocks noChangeAspect="1" noChangeArrowheads="1"/>
        </xdr:cNvSpPr>
      </xdr:nvSpPr>
      <xdr:spPr bwMode="auto">
        <a:xfrm>
          <a:off x="0"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5" name="AutoShape 8" descr="http://dmp.truoptik.com/tr.gif?ak=0810d65f&amp;dm=www.mrexcel.com&amp;fck=3A051EAC562B7E55A25538410264C084"/>
        <xdr:cNvSpPr>
          <a:spLocks noChangeAspect="1" noChangeArrowheads="1"/>
        </xdr:cNvSpPr>
      </xdr:nvSpPr>
      <xdr:spPr bwMode="auto">
        <a:xfrm>
          <a:off x="314325"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6" name="AutoShape 7" descr="http://dmp.truoptik.com/tr.gif?ak=0810d65f&amp;dm=www.mrexcel.com&amp;fck=3A051EAC562B7E55A25538410264C084"/>
        <xdr:cNvSpPr>
          <a:spLocks noChangeAspect="1" noChangeArrowheads="1"/>
        </xdr:cNvSpPr>
      </xdr:nvSpPr>
      <xdr:spPr bwMode="auto">
        <a:xfrm>
          <a:off x="0"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7" name="AutoShape 8" descr="http://dmp.truoptik.com/tr.gif?ak=0810d65f&amp;dm=www.mrexcel.com&amp;fck=3A051EAC562B7E55A25538410264C084"/>
        <xdr:cNvSpPr>
          <a:spLocks noChangeAspect="1" noChangeArrowheads="1"/>
        </xdr:cNvSpPr>
      </xdr:nvSpPr>
      <xdr:spPr bwMode="auto">
        <a:xfrm>
          <a:off x="314325"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8" name="AutoShape 7" descr="http://dmp.truoptik.com/tr.gif?ak=0810d65f&amp;dm=www.mrexcel.com&amp;fck=3A051EAC562B7E55A25538410264C084"/>
        <xdr:cNvSpPr>
          <a:spLocks noChangeAspect="1" noChangeArrowheads="1"/>
        </xdr:cNvSpPr>
      </xdr:nvSpPr>
      <xdr:spPr bwMode="auto">
        <a:xfrm>
          <a:off x="0"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9" name="AutoShape 8" descr="http://dmp.truoptik.com/tr.gif?ak=0810d65f&amp;dm=www.mrexcel.com&amp;fck=3A051EAC562B7E55A25538410264C084"/>
        <xdr:cNvSpPr>
          <a:spLocks noChangeAspect="1" noChangeArrowheads="1"/>
        </xdr:cNvSpPr>
      </xdr:nvSpPr>
      <xdr:spPr bwMode="auto">
        <a:xfrm>
          <a:off x="314325"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0" name="AutoShape 7" descr="http://dmp.truoptik.com/tr.gif?ak=0810d65f&amp;dm=www.mrexcel.com&amp;fck=3A051EAC562B7E55A25538410264C084"/>
        <xdr:cNvSpPr>
          <a:spLocks noChangeAspect="1" noChangeArrowheads="1"/>
        </xdr:cNvSpPr>
      </xdr:nvSpPr>
      <xdr:spPr bwMode="auto">
        <a:xfrm>
          <a:off x="0"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1" name="AutoShape 8" descr="http://dmp.truoptik.com/tr.gif?ak=0810d65f&amp;dm=www.mrexcel.com&amp;fck=3A051EAC562B7E55A25538410264C084"/>
        <xdr:cNvSpPr>
          <a:spLocks noChangeAspect="1" noChangeArrowheads="1"/>
        </xdr:cNvSpPr>
      </xdr:nvSpPr>
      <xdr:spPr bwMode="auto">
        <a:xfrm>
          <a:off x="314325"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2" name="AutoShape 7" descr="http://dmp.truoptik.com/tr.gif?ak=0810d65f&amp;dm=www.mrexcel.com&amp;fck=3A051EAC562B7E55A25538410264C084"/>
        <xdr:cNvSpPr>
          <a:spLocks noChangeAspect="1" noChangeArrowheads="1"/>
        </xdr:cNvSpPr>
      </xdr:nvSpPr>
      <xdr:spPr bwMode="auto">
        <a:xfrm>
          <a:off x="0"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3" name="AutoShape 8" descr="http://dmp.truoptik.com/tr.gif?ak=0810d65f&amp;dm=www.mrexcel.com&amp;fck=3A051EAC562B7E55A25538410264C084"/>
        <xdr:cNvSpPr>
          <a:spLocks noChangeAspect="1" noChangeArrowheads="1"/>
        </xdr:cNvSpPr>
      </xdr:nvSpPr>
      <xdr:spPr bwMode="auto">
        <a:xfrm>
          <a:off x="314325"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4" name="AutoShape 7" descr="http://dmp.truoptik.com/tr.gif?ak=0810d65f&amp;dm=www.mrexcel.com&amp;fck=3A051EAC562B7E55A25538410264C084"/>
        <xdr:cNvSpPr>
          <a:spLocks noChangeAspect="1" noChangeArrowheads="1"/>
        </xdr:cNvSpPr>
      </xdr:nvSpPr>
      <xdr:spPr bwMode="auto">
        <a:xfrm>
          <a:off x="0"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5" name="AutoShape 8" descr="http://dmp.truoptik.com/tr.gif?ak=0810d65f&amp;dm=www.mrexcel.com&amp;fck=3A051EAC562B7E55A25538410264C084"/>
        <xdr:cNvSpPr>
          <a:spLocks noChangeAspect="1" noChangeArrowheads="1"/>
        </xdr:cNvSpPr>
      </xdr:nvSpPr>
      <xdr:spPr bwMode="auto">
        <a:xfrm>
          <a:off x="314325"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6" name="AutoShape 7" descr="http://dmp.truoptik.com/tr.gif?ak=0810d65f&amp;dm=www.mrexcel.com&amp;fck=3A051EAC562B7E55A25538410264C084"/>
        <xdr:cNvSpPr>
          <a:spLocks noChangeAspect="1" noChangeArrowheads="1"/>
        </xdr:cNvSpPr>
      </xdr:nvSpPr>
      <xdr:spPr bwMode="auto">
        <a:xfrm>
          <a:off x="0"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7" name="AutoShape 8" descr="http://dmp.truoptik.com/tr.gif?ak=0810d65f&amp;dm=www.mrexcel.com&amp;fck=3A051EAC562B7E55A25538410264C084"/>
        <xdr:cNvSpPr>
          <a:spLocks noChangeAspect="1" noChangeArrowheads="1"/>
        </xdr:cNvSpPr>
      </xdr:nvSpPr>
      <xdr:spPr bwMode="auto">
        <a:xfrm>
          <a:off x="314325"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38" name="AutoShape 7" descr="http://dmp.truoptik.com/tr.gif?ak=0810d65f&amp;dm=www.mrexcel.com&amp;fck=3A051EAC562B7E55A25538410264C084"/>
        <xdr:cNvSpPr>
          <a:spLocks noChangeAspect="1" noChangeArrowheads="1"/>
        </xdr:cNvSpPr>
      </xdr:nvSpPr>
      <xdr:spPr bwMode="auto">
        <a:xfrm>
          <a:off x="0"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39" name="AutoShape 8" descr="http://dmp.truoptik.com/tr.gif?ak=0810d65f&amp;dm=www.mrexcel.com&amp;fck=3A051EAC562B7E55A25538410264C084"/>
        <xdr:cNvSpPr>
          <a:spLocks noChangeAspect="1" noChangeArrowheads="1"/>
        </xdr:cNvSpPr>
      </xdr:nvSpPr>
      <xdr:spPr bwMode="auto">
        <a:xfrm>
          <a:off x="314325"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40" name="AutoShape 7" descr="http://dmp.truoptik.com/tr.gif?ak=0810d65f&amp;dm=www.mrexcel.com&amp;fck=3A051EAC562B7E55A25538410264C084"/>
        <xdr:cNvSpPr>
          <a:spLocks noChangeAspect="1" noChangeArrowheads="1"/>
        </xdr:cNvSpPr>
      </xdr:nvSpPr>
      <xdr:spPr bwMode="auto">
        <a:xfrm>
          <a:off x="0"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41" name="AutoShape 8" descr="http://dmp.truoptik.com/tr.gif?ak=0810d65f&amp;dm=www.mrexcel.com&amp;fck=3A051EAC562B7E55A25538410264C084"/>
        <xdr:cNvSpPr>
          <a:spLocks noChangeAspect="1" noChangeArrowheads="1"/>
        </xdr:cNvSpPr>
      </xdr:nvSpPr>
      <xdr:spPr bwMode="auto">
        <a:xfrm>
          <a:off x="314325"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2" name="AutoShape 7" descr="http://dmp.truoptik.com/tr.gif?ak=0810d65f&amp;dm=www.mrexcel.com&amp;fck=3A051EAC562B7E55A25538410264C084"/>
        <xdr:cNvSpPr>
          <a:spLocks noChangeAspect="1" noChangeArrowheads="1"/>
        </xdr:cNvSpPr>
      </xdr:nvSpPr>
      <xdr:spPr bwMode="auto">
        <a:xfrm>
          <a:off x="0"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3" name="AutoShape 8" descr="http://dmp.truoptik.com/tr.gif?ak=0810d65f&amp;dm=www.mrexcel.com&amp;fck=3A051EAC562B7E55A25538410264C084"/>
        <xdr:cNvSpPr>
          <a:spLocks noChangeAspect="1" noChangeArrowheads="1"/>
        </xdr:cNvSpPr>
      </xdr:nvSpPr>
      <xdr:spPr bwMode="auto">
        <a:xfrm>
          <a:off x="314325"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4" name="AutoShape 7" descr="http://dmp.truoptik.com/tr.gif?ak=0810d65f&amp;dm=www.mrexcel.com&amp;fck=3A051EAC562B7E55A25538410264C084"/>
        <xdr:cNvSpPr>
          <a:spLocks noChangeAspect="1" noChangeArrowheads="1"/>
        </xdr:cNvSpPr>
      </xdr:nvSpPr>
      <xdr:spPr bwMode="auto">
        <a:xfrm>
          <a:off x="0"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5" name="AutoShape 8" descr="http://dmp.truoptik.com/tr.gif?ak=0810d65f&amp;dm=www.mrexcel.com&amp;fck=3A051EAC562B7E55A25538410264C084"/>
        <xdr:cNvSpPr>
          <a:spLocks noChangeAspect="1" noChangeArrowheads="1"/>
        </xdr:cNvSpPr>
      </xdr:nvSpPr>
      <xdr:spPr bwMode="auto">
        <a:xfrm>
          <a:off x="314325"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6" name="AutoShape 7" descr="http://dmp.truoptik.com/tr.gif?ak=0810d65f&amp;dm=www.mrexcel.com&amp;fck=3A051EAC562B7E55A25538410264C084"/>
        <xdr:cNvSpPr>
          <a:spLocks noChangeAspect="1" noChangeArrowheads="1"/>
        </xdr:cNvSpPr>
      </xdr:nvSpPr>
      <xdr:spPr bwMode="auto">
        <a:xfrm>
          <a:off x="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7" name="AutoShape 8" descr="http://dmp.truoptik.com/tr.gif?ak=0810d65f&amp;dm=www.mrexcel.com&amp;fck=3A051EAC562B7E55A25538410264C084"/>
        <xdr:cNvSpPr>
          <a:spLocks noChangeAspect="1" noChangeArrowheads="1"/>
        </xdr:cNvSpPr>
      </xdr:nvSpPr>
      <xdr:spPr bwMode="auto">
        <a:xfrm>
          <a:off x="314325"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8" name="AutoShape 7" descr="http://dmp.truoptik.com/tr.gif?ak=0810d65f&amp;dm=www.mrexcel.com&amp;fck=3A051EAC562B7E55A25538410264C084"/>
        <xdr:cNvSpPr>
          <a:spLocks noChangeAspect="1" noChangeArrowheads="1"/>
        </xdr:cNvSpPr>
      </xdr:nvSpPr>
      <xdr:spPr bwMode="auto">
        <a:xfrm>
          <a:off x="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9" name="AutoShape 8" descr="http://dmp.truoptik.com/tr.gif?ak=0810d65f&amp;dm=www.mrexcel.com&amp;fck=3A051EAC562B7E55A25538410264C084"/>
        <xdr:cNvSpPr>
          <a:spLocks noChangeAspect="1" noChangeArrowheads="1"/>
        </xdr:cNvSpPr>
      </xdr:nvSpPr>
      <xdr:spPr bwMode="auto">
        <a:xfrm>
          <a:off x="314325"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0" name="AutoShape 7" descr="http://dmp.truoptik.com/tr.gif?ak=0810d65f&amp;dm=www.mrexcel.com&amp;fck=3A051EAC562B7E55A25538410264C084"/>
        <xdr:cNvSpPr>
          <a:spLocks noChangeAspect="1" noChangeArrowheads="1"/>
        </xdr:cNvSpPr>
      </xdr:nvSpPr>
      <xdr:spPr bwMode="auto">
        <a:xfrm>
          <a:off x="0"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1" name="AutoShape 8" descr="http://dmp.truoptik.com/tr.gif?ak=0810d65f&amp;dm=www.mrexcel.com&amp;fck=3A051EAC562B7E55A25538410264C084"/>
        <xdr:cNvSpPr>
          <a:spLocks noChangeAspect="1" noChangeArrowheads="1"/>
        </xdr:cNvSpPr>
      </xdr:nvSpPr>
      <xdr:spPr bwMode="auto">
        <a:xfrm>
          <a:off x="314325"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2" name="AutoShape 7" descr="http://dmp.truoptik.com/tr.gif?ak=0810d65f&amp;dm=www.mrexcel.com&amp;fck=3A051EAC562B7E55A25538410264C084"/>
        <xdr:cNvSpPr>
          <a:spLocks noChangeAspect="1" noChangeArrowheads="1"/>
        </xdr:cNvSpPr>
      </xdr:nvSpPr>
      <xdr:spPr bwMode="auto">
        <a:xfrm>
          <a:off x="0"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3" name="AutoShape 8" descr="http://dmp.truoptik.com/tr.gif?ak=0810d65f&amp;dm=www.mrexcel.com&amp;fck=3A051EAC562B7E55A25538410264C084"/>
        <xdr:cNvSpPr>
          <a:spLocks noChangeAspect="1" noChangeArrowheads="1"/>
        </xdr:cNvSpPr>
      </xdr:nvSpPr>
      <xdr:spPr bwMode="auto">
        <a:xfrm>
          <a:off x="314325"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4" name="AutoShape 7" descr="http://dmp.truoptik.com/tr.gif?ak=0810d65f&amp;dm=www.mrexcel.com&amp;fck=3A051EAC562B7E55A25538410264C084"/>
        <xdr:cNvSpPr>
          <a:spLocks noChangeAspect="1" noChangeArrowheads="1"/>
        </xdr:cNvSpPr>
      </xdr:nvSpPr>
      <xdr:spPr bwMode="auto">
        <a:xfrm>
          <a:off x="0"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5" name="AutoShape 8" descr="http://dmp.truoptik.com/tr.gif?ak=0810d65f&amp;dm=www.mrexcel.com&amp;fck=3A051EAC562B7E55A25538410264C084"/>
        <xdr:cNvSpPr>
          <a:spLocks noChangeAspect="1" noChangeArrowheads="1"/>
        </xdr:cNvSpPr>
      </xdr:nvSpPr>
      <xdr:spPr bwMode="auto">
        <a:xfrm>
          <a:off x="314325"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6" name="AutoShape 7" descr="http://dmp.truoptik.com/tr.gif?ak=0810d65f&amp;dm=www.mrexcel.com&amp;fck=3A051EAC562B7E55A25538410264C084"/>
        <xdr:cNvSpPr>
          <a:spLocks noChangeAspect="1" noChangeArrowheads="1"/>
        </xdr:cNvSpPr>
      </xdr:nvSpPr>
      <xdr:spPr bwMode="auto">
        <a:xfrm>
          <a:off x="0"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7" name="AutoShape 8" descr="http://dmp.truoptik.com/tr.gif?ak=0810d65f&amp;dm=www.mrexcel.com&amp;fck=3A051EAC562B7E55A25538410264C084"/>
        <xdr:cNvSpPr>
          <a:spLocks noChangeAspect="1" noChangeArrowheads="1"/>
        </xdr:cNvSpPr>
      </xdr:nvSpPr>
      <xdr:spPr bwMode="auto">
        <a:xfrm>
          <a:off x="314325"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58" name="AutoShape 7" descr="http://dmp.truoptik.com/tr.gif?ak=0810d65f&amp;dm=www.mrexcel.com&amp;fck=3A051EAC562B7E55A25538410264C084"/>
        <xdr:cNvSpPr>
          <a:spLocks noChangeAspect="1" noChangeArrowheads="1"/>
        </xdr:cNvSpPr>
      </xdr:nvSpPr>
      <xdr:spPr bwMode="auto">
        <a:xfrm>
          <a:off x="0"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59" name="AutoShape 8" descr="http://dmp.truoptik.com/tr.gif?ak=0810d65f&amp;dm=www.mrexcel.com&amp;fck=3A051EAC562B7E55A25538410264C084"/>
        <xdr:cNvSpPr>
          <a:spLocks noChangeAspect="1" noChangeArrowheads="1"/>
        </xdr:cNvSpPr>
      </xdr:nvSpPr>
      <xdr:spPr bwMode="auto">
        <a:xfrm>
          <a:off x="314325"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0" name="AutoShape 7" descr="http://dmp.truoptik.com/tr.gif?ak=0810d65f&amp;dm=www.mrexcel.com&amp;fck=3A051EAC562B7E55A25538410264C084"/>
        <xdr:cNvSpPr>
          <a:spLocks noChangeAspect="1" noChangeArrowheads="1"/>
        </xdr:cNvSpPr>
      </xdr:nvSpPr>
      <xdr:spPr bwMode="auto">
        <a:xfrm>
          <a:off x="0"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1" name="AutoShape 8" descr="http://dmp.truoptik.com/tr.gif?ak=0810d65f&amp;dm=www.mrexcel.com&amp;fck=3A051EAC562B7E55A25538410264C084"/>
        <xdr:cNvSpPr>
          <a:spLocks noChangeAspect="1" noChangeArrowheads="1"/>
        </xdr:cNvSpPr>
      </xdr:nvSpPr>
      <xdr:spPr bwMode="auto">
        <a:xfrm>
          <a:off x="314325"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2" name="AutoShape 7" descr="http://dmp.truoptik.com/tr.gif?ak=0810d65f&amp;dm=www.mrexcel.com&amp;fck=3A051EAC562B7E55A25538410264C084"/>
        <xdr:cNvSpPr>
          <a:spLocks noChangeAspect="1" noChangeArrowheads="1"/>
        </xdr:cNvSpPr>
      </xdr:nvSpPr>
      <xdr:spPr bwMode="auto">
        <a:xfrm>
          <a:off x="0"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3" name="AutoShape 8" descr="http://dmp.truoptik.com/tr.gif?ak=0810d65f&amp;dm=www.mrexcel.com&amp;fck=3A051EAC562B7E55A25538410264C084"/>
        <xdr:cNvSpPr>
          <a:spLocks noChangeAspect="1" noChangeArrowheads="1"/>
        </xdr:cNvSpPr>
      </xdr:nvSpPr>
      <xdr:spPr bwMode="auto">
        <a:xfrm>
          <a:off x="314325"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4" name="AutoShape 7" descr="http://dmp.truoptik.com/tr.gif?ak=0810d65f&amp;dm=www.mrexcel.com&amp;fck=3A051EAC562B7E55A25538410264C084"/>
        <xdr:cNvSpPr>
          <a:spLocks noChangeAspect="1" noChangeArrowheads="1"/>
        </xdr:cNvSpPr>
      </xdr:nvSpPr>
      <xdr:spPr bwMode="auto">
        <a:xfrm>
          <a:off x="0"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5" name="AutoShape 8" descr="http://dmp.truoptik.com/tr.gif?ak=0810d65f&amp;dm=www.mrexcel.com&amp;fck=3A051EAC562B7E55A25538410264C084"/>
        <xdr:cNvSpPr>
          <a:spLocks noChangeAspect="1" noChangeArrowheads="1"/>
        </xdr:cNvSpPr>
      </xdr:nvSpPr>
      <xdr:spPr bwMode="auto">
        <a:xfrm>
          <a:off x="314325"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6" name="AutoShape 7" descr="http://dmp.truoptik.com/tr.gif?ak=0810d65f&amp;dm=www.mrexcel.com&amp;fck=3A051EAC562B7E55A25538410264C084"/>
        <xdr:cNvSpPr>
          <a:spLocks noChangeAspect="1" noChangeArrowheads="1"/>
        </xdr:cNvSpPr>
      </xdr:nvSpPr>
      <xdr:spPr bwMode="auto">
        <a:xfrm>
          <a:off x="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7" name="AutoShape 8" descr="http://dmp.truoptik.com/tr.gif?ak=0810d65f&amp;dm=www.mrexcel.com&amp;fck=3A051EAC562B7E55A25538410264C084"/>
        <xdr:cNvSpPr>
          <a:spLocks noChangeAspect="1" noChangeArrowheads="1"/>
        </xdr:cNvSpPr>
      </xdr:nvSpPr>
      <xdr:spPr bwMode="auto">
        <a:xfrm>
          <a:off x="314325"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8" name="AutoShape 7" descr="http://dmp.truoptik.com/tr.gif?ak=0810d65f&amp;dm=www.mrexcel.com&amp;fck=3A051EAC562B7E55A25538410264C084"/>
        <xdr:cNvSpPr>
          <a:spLocks noChangeAspect="1" noChangeArrowheads="1"/>
        </xdr:cNvSpPr>
      </xdr:nvSpPr>
      <xdr:spPr bwMode="auto">
        <a:xfrm>
          <a:off x="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9" name="AutoShape 8" descr="http://dmp.truoptik.com/tr.gif?ak=0810d65f&amp;dm=www.mrexcel.com&amp;fck=3A051EAC562B7E55A25538410264C084"/>
        <xdr:cNvSpPr>
          <a:spLocks noChangeAspect="1" noChangeArrowheads="1"/>
        </xdr:cNvSpPr>
      </xdr:nvSpPr>
      <xdr:spPr bwMode="auto">
        <a:xfrm>
          <a:off x="314325"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0" name="AutoShape 7" descr="http://dmp.truoptik.com/tr.gif?ak=0810d65f&amp;dm=www.mrexcel.com&amp;fck=3A051EAC562B7E55A25538410264C084"/>
        <xdr:cNvSpPr>
          <a:spLocks noChangeAspect="1" noChangeArrowheads="1"/>
        </xdr:cNvSpPr>
      </xdr:nvSpPr>
      <xdr:spPr bwMode="auto">
        <a:xfrm>
          <a:off x="0"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1" name="AutoShape 8" descr="http://dmp.truoptik.com/tr.gif?ak=0810d65f&amp;dm=www.mrexcel.com&amp;fck=3A051EAC562B7E55A25538410264C084"/>
        <xdr:cNvSpPr>
          <a:spLocks noChangeAspect="1" noChangeArrowheads="1"/>
        </xdr:cNvSpPr>
      </xdr:nvSpPr>
      <xdr:spPr bwMode="auto">
        <a:xfrm>
          <a:off x="314325"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2" name="AutoShape 7" descr="http://dmp.truoptik.com/tr.gif?ak=0810d65f&amp;dm=www.mrexcel.com&amp;fck=3A051EAC562B7E55A25538410264C084"/>
        <xdr:cNvSpPr>
          <a:spLocks noChangeAspect="1" noChangeArrowheads="1"/>
        </xdr:cNvSpPr>
      </xdr:nvSpPr>
      <xdr:spPr bwMode="auto">
        <a:xfrm>
          <a:off x="0"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3" name="AutoShape 8" descr="http://dmp.truoptik.com/tr.gif?ak=0810d65f&amp;dm=www.mrexcel.com&amp;fck=3A051EAC562B7E55A25538410264C084"/>
        <xdr:cNvSpPr>
          <a:spLocks noChangeAspect="1" noChangeArrowheads="1"/>
        </xdr:cNvSpPr>
      </xdr:nvSpPr>
      <xdr:spPr bwMode="auto">
        <a:xfrm>
          <a:off x="314325"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4" name="AutoShape 7" descr="http://dmp.truoptik.com/tr.gif?ak=0810d65f&amp;dm=www.mrexcel.com&amp;fck=3A051EAC562B7E55A25538410264C084"/>
        <xdr:cNvSpPr>
          <a:spLocks noChangeAspect="1" noChangeArrowheads="1"/>
        </xdr:cNvSpPr>
      </xdr:nvSpPr>
      <xdr:spPr bwMode="auto">
        <a:xfrm>
          <a:off x="0"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5" name="AutoShape 8" descr="http://dmp.truoptik.com/tr.gif?ak=0810d65f&amp;dm=www.mrexcel.com&amp;fck=3A051EAC562B7E55A25538410264C084"/>
        <xdr:cNvSpPr>
          <a:spLocks noChangeAspect="1" noChangeArrowheads="1"/>
        </xdr:cNvSpPr>
      </xdr:nvSpPr>
      <xdr:spPr bwMode="auto">
        <a:xfrm>
          <a:off x="314325"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6" name="AutoShape 7" descr="http://dmp.truoptik.com/tr.gif?ak=0810d65f&amp;dm=www.mrexcel.com&amp;fck=3A051EAC562B7E55A25538410264C084"/>
        <xdr:cNvSpPr>
          <a:spLocks noChangeAspect="1" noChangeArrowheads="1"/>
        </xdr:cNvSpPr>
      </xdr:nvSpPr>
      <xdr:spPr bwMode="auto">
        <a:xfrm>
          <a:off x="0"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7" name="AutoShape 8" descr="http://dmp.truoptik.com/tr.gif?ak=0810d65f&amp;dm=www.mrexcel.com&amp;fck=3A051EAC562B7E55A25538410264C084"/>
        <xdr:cNvSpPr>
          <a:spLocks noChangeAspect="1" noChangeArrowheads="1"/>
        </xdr:cNvSpPr>
      </xdr:nvSpPr>
      <xdr:spPr bwMode="auto">
        <a:xfrm>
          <a:off x="314325"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8" name="AutoShape 7" descr="http://dmp.truoptik.com/tr.gif?ak=0810d65f&amp;dm=www.mrexcel.com&amp;fck=3A051EAC562B7E55A25538410264C084"/>
        <xdr:cNvSpPr>
          <a:spLocks noChangeAspect="1" noChangeArrowheads="1"/>
        </xdr:cNvSpPr>
      </xdr:nvSpPr>
      <xdr:spPr bwMode="auto">
        <a:xfrm>
          <a:off x="0"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9" name="AutoShape 8" descr="http://dmp.truoptik.com/tr.gif?ak=0810d65f&amp;dm=www.mrexcel.com&amp;fck=3A051EAC562B7E55A25538410264C084"/>
        <xdr:cNvSpPr>
          <a:spLocks noChangeAspect="1" noChangeArrowheads="1"/>
        </xdr:cNvSpPr>
      </xdr:nvSpPr>
      <xdr:spPr bwMode="auto">
        <a:xfrm>
          <a:off x="314325"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0" name="AutoShape 7" descr="http://dmp.truoptik.com/tr.gif?ak=0810d65f&amp;dm=www.mrexcel.com&amp;fck=3A051EAC562B7E55A25538410264C084"/>
        <xdr:cNvSpPr>
          <a:spLocks noChangeAspect="1" noChangeArrowheads="1"/>
        </xdr:cNvSpPr>
      </xdr:nvSpPr>
      <xdr:spPr bwMode="auto">
        <a:xfrm>
          <a:off x="0"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1" name="AutoShape 8" descr="http://dmp.truoptik.com/tr.gif?ak=0810d65f&amp;dm=www.mrexcel.com&amp;fck=3A051EAC562B7E55A25538410264C084"/>
        <xdr:cNvSpPr>
          <a:spLocks noChangeAspect="1" noChangeArrowheads="1"/>
        </xdr:cNvSpPr>
      </xdr:nvSpPr>
      <xdr:spPr bwMode="auto">
        <a:xfrm>
          <a:off x="314325"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2" name="AutoShape 7" descr="http://dmp.truoptik.com/tr.gif?ak=0810d65f&amp;dm=www.mrexcel.com&amp;fck=3A051EAC562B7E55A25538410264C084"/>
        <xdr:cNvSpPr>
          <a:spLocks noChangeAspect="1" noChangeArrowheads="1"/>
        </xdr:cNvSpPr>
      </xdr:nvSpPr>
      <xdr:spPr bwMode="auto">
        <a:xfrm>
          <a:off x="0"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3" name="AutoShape 8" descr="http://dmp.truoptik.com/tr.gif?ak=0810d65f&amp;dm=www.mrexcel.com&amp;fck=3A051EAC562B7E55A25538410264C084"/>
        <xdr:cNvSpPr>
          <a:spLocks noChangeAspect="1" noChangeArrowheads="1"/>
        </xdr:cNvSpPr>
      </xdr:nvSpPr>
      <xdr:spPr bwMode="auto">
        <a:xfrm>
          <a:off x="314325"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4" name="AutoShape 7" descr="http://dmp.truoptik.com/tr.gif?ak=0810d65f&amp;dm=www.mrexcel.com&amp;fck=3A051EAC562B7E55A25538410264C084"/>
        <xdr:cNvSpPr>
          <a:spLocks noChangeAspect="1" noChangeArrowheads="1"/>
        </xdr:cNvSpPr>
      </xdr:nvSpPr>
      <xdr:spPr bwMode="auto">
        <a:xfrm>
          <a:off x="0"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5" name="AutoShape 8" descr="http://dmp.truoptik.com/tr.gif?ak=0810d65f&amp;dm=www.mrexcel.com&amp;fck=3A051EAC562B7E55A25538410264C084"/>
        <xdr:cNvSpPr>
          <a:spLocks noChangeAspect="1" noChangeArrowheads="1"/>
        </xdr:cNvSpPr>
      </xdr:nvSpPr>
      <xdr:spPr bwMode="auto">
        <a:xfrm>
          <a:off x="314325"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6" name="AutoShape 7" descr="http://dmp.truoptik.com/tr.gif?ak=0810d65f&amp;dm=www.mrexcel.com&amp;fck=3A051EAC562B7E55A25538410264C084"/>
        <xdr:cNvSpPr>
          <a:spLocks noChangeAspect="1" noChangeArrowheads="1"/>
        </xdr:cNvSpPr>
      </xdr:nvSpPr>
      <xdr:spPr bwMode="auto">
        <a:xfrm>
          <a:off x="0"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7" name="AutoShape 8" descr="http://dmp.truoptik.com/tr.gif?ak=0810d65f&amp;dm=www.mrexcel.com&amp;fck=3A051EAC562B7E55A25538410264C084"/>
        <xdr:cNvSpPr>
          <a:spLocks noChangeAspect="1" noChangeArrowheads="1"/>
        </xdr:cNvSpPr>
      </xdr:nvSpPr>
      <xdr:spPr bwMode="auto">
        <a:xfrm>
          <a:off x="314325"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8" name="AutoShape 7" descr="http://dmp.truoptik.com/tr.gif?ak=0810d65f&amp;dm=www.mrexcel.com&amp;fck=3A051EAC562B7E55A25538410264C084"/>
        <xdr:cNvSpPr>
          <a:spLocks noChangeAspect="1" noChangeArrowheads="1"/>
        </xdr:cNvSpPr>
      </xdr:nvSpPr>
      <xdr:spPr bwMode="auto">
        <a:xfrm>
          <a:off x="0"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9" name="AutoShape 8" descr="http://dmp.truoptik.com/tr.gif?ak=0810d65f&amp;dm=www.mrexcel.com&amp;fck=3A051EAC562B7E55A25538410264C084"/>
        <xdr:cNvSpPr>
          <a:spLocks noChangeAspect="1" noChangeArrowheads="1"/>
        </xdr:cNvSpPr>
      </xdr:nvSpPr>
      <xdr:spPr bwMode="auto">
        <a:xfrm>
          <a:off x="314325"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0" name="AutoShape 7" descr="http://dmp.truoptik.com/tr.gif?ak=0810d65f&amp;dm=www.mrexcel.com&amp;fck=3A051EAC562B7E55A25538410264C084"/>
        <xdr:cNvSpPr>
          <a:spLocks noChangeAspect="1" noChangeArrowheads="1"/>
        </xdr:cNvSpPr>
      </xdr:nvSpPr>
      <xdr:spPr bwMode="auto">
        <a:xfrm>
          <a:off x="0"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1" name="AutoShape 8" descr="http://dmp.truoptik.com/tr.gif?ak=0810d65f&amp;dm=www.mrexcel.com&amp;fck=3A051EAC562B7E55A25538410264C084"/>
        <xdr:cNvSpPr>
          <a:spLocks noChangeAspect="1" noChangeArrowheads="1"/>
        </xdr:cNvSpPr>
      </xdr:nvSpPr>
      <xdr:spPr bwMode="auto">
        <a:xfrm>
          <a:off x="314325"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2" name="AutoShape 7" descr="http://dmp.truoptik.com/tr.gif?ak=0810d65f&amp;dm=www.mrexcel.com&amp;fck=3A051EAC562B7E55A25538410264C084"/>
        <xdr:cNvSpPr>
          <a:spLocks noChangeAspect="1" noChangeArrowheads="1"/>
        </xdr:cNvSpPr>
      </xdr:nvSpPr>
      <xdr:spPr bwMode="auto">
        <a:xfrm>
          <a:off x="0"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3" name="AutoShape 8" descr="http://dmp.truoptik.com/tr.gif?ak=0810d65f&amp;dm=www.mrexcel.com&amp;fck=3A051EAC562B7E55A25538410264C084"/>
        <xdr:cNvSpPr>
          <a:spLocks noChangeAspect="1" noChangeArrowheads="1"/>
        </xdr:cNvSpPr>
      </xdr:nvSpPr>
      <xdr:spPr bwMode="auto">
        <a:xfrm>
          <a:off x="314325"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4" name="AutoShape 7" descr="http://dmp.truoptik.com/tr.gif?ak=0810d65f&amp;dm=www.mrexcel.com&amp;fck=3A051EAC562B7E55A25538410264C084"/>
        <xdr:cNvSpPr>
          <a:spLocks noChangeAspect="1" noChangeArrowheads="1"/>
        </xdr:cNvSpPr>
      </xdr:nvSpPr>
      <xdr:spPr bwMode="auto">
        <a:xfrm>
          <a:off x="0" y="1553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5" name="AutoShape 8" descr="http://dmp.truoptik.com/tr.gif?ak=0810d65f&amp;dm=www.mrexcel.com&amp;fck=3A051EAC562B7E55A25538410264C084"/>
        <xdr:cNvSpPr>
          <a:spLocks noChangeAspect="1" noChangeArrowheads="1"/>
        </xdr:cNvSpPr>
      </xdr:nvSpPr>
      <xdr:spPr bwMode="auto">
        <a:xfrm>
          <a:off x="314325" y="1553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9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9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98"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99"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2"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3"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6"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7"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0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0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2"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3"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4"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5"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6"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7"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8"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9"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2"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3"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4"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5"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6"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7"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8"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9"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id="6" name="Reserve_Analysis7897" displayName="Reserve_Analysis7897" ref="A5:D27" totalsRowCount="1" headerRowDxfId="214" totalsRowDxfId="212" tableBorderDxfId="213">
  <autoFilter ref="A5:D26"/>
  <tableColumns count="4">
    <tableColumn id="1" name="Reserve Items" totalsRowLabel="Total: " dataDxfId="211" totalsRowDxfId="210" dataCellStyle="Normal 2"/>
    <tableColumn id="14" name="Replacement Cost" totalsRowFunction="sum" dataDxfId="209" totalsRowDxfId="208" dataCellStyle="Normal 2"/>
    <tableColumn id="5" name="Ratio Item to Total" totalsRowFunction="sum" dataDxfId="207" totalsRowDxfId="206" dataCellStyle="Normal 2">
      <calculatedColumnFormula>IFERROR(Reserve_Analysis7897[[#This Row],[Replacement Cost]]/$B$3,"")</calculatedColumnFormula>
    </tableColumn>
    <tableColumn id="6" name="Item Budgeted Amount" totalsRowFunction="sum" dataDxfId="205" totalsRowDxfId="204" dataCellStyle="Normal 2">
      <calculatedColumnFormula>IFERROR($E$3*Reserve_Analysis7897[[#This Row],[Ratio Item to Total]],"")</calculatedColumnFormula>
    </tableColumn>
  </tableColumns>
  <tableStyleInfo name="TableStyleLight15" showFirstColumn="0" showLastColumn="0" showRowStripes="1" showColumnStripes="0"/>
</table>
</file>

<file path=xl/tables/table10.xml><?xml version="1.0" encoding="utf-8"?>
<table xmlns="http://schemas.openxmlformats.org/spreadsheetml/2006/main" id="5" name="Reserve_Analysis3" displayName="Reserve_Analysis3" ref="A5:L20" totalsRowCount="1" headerRowDxfId="50" dataDxfId="49" totalsRowDxfId="47" tableBorderDxfId="48">
  <autoFilter ref="A5:L19"/>
  <tableColumns count="12">
    <tableColumn id="1" name="Reserve Items" dataDxfId="46" totalsRowDxfId="45" dataCellStyle="Normal 2"/>
    <tableColumn id="2" name="Useful Life" dataDxfId="44" totalsRowDxfId="43" dataCellStyle="Normal 2"/>
    <tableColumn id="3" name="Yrs. in Use" dataDxfId="42" totalsRowDxfId="41" dataCellStyle="Normal 2"/>
    <tableColumn id="4" name="Remain. Life" totalsRowLabel="Total:" dataDxfId="40" totalsRowDxfId="39" dataCellStyle="Normal 2">
      <calculatedColumnFormula>IFERROR(Reserve_Analysis3[[#This Row],[Useful Life]]-Reserve_Analysis3[[#This Row],[Yrs. in Use]],"")</calculatedColumnFormula>
    </tableColumn>
    <tableColumn id="14" name="Replac. Cost" totalsRowFunction="sum" dataDxfId="38" totalsRowDxfId="37" dataCellStyle="Normal 2"/>
    <tableColumn id="5" name="Annual  Payment Amount" totalsRowFunction="sum" dataDxfId="36" totalsRowDxfId="35" dataCellStyle="Normal 2">
      <calculatedColumnFormula>IFERROR(Reserve_Analysis3[[#This Row],[Replac. Cost]]/Reserve_Analysis3[[#This Row],[Useful Life]],"")</calculatedColumnFormula>
    </tableColumn>
    <tableColumn id="6" name="Required Reserves" totalsRowFunction="sum" dataDxfId="34" totalsRowDxfId="33" dataCellStyle="Normal 2">
      <calculatedColumnFormula>IFERROR(Reserve_Analysis3[[#This Row],[Yrs. in Use]]*Reserve_Analysis3[[#This Row],[Annual  Payment Amount]],"")</calculatedColumnFormula>
    </tableColumn>
    <tableColumn id="7" name="Actual Reserves " totalsRowFunction="sum" dataDxfId="32" totalsRowDxfId="31" dataCellStyle="Normal 2"/>
    <tableColumn id="8" name="Adequate / (Shortage)" totalsRowFunction="sum" dataDxfId="30" totalsRowDxfId="29" dataCellStyle="Normal 2">
      <calculatedColumnFormula>IFERROR(Reserve_Analysis3[[#This Row],[Actual Reserves ]]-Reserve_Analysis3[[#This Row],[Required Reserves]],"")</calculatedColumnFormula>
    </tableColumn>
    <tableColumn id="9" name="Percent Funded" totalsRowFunction="custom" dataDxfId="28" totalsRowDxfId="27" dataCellStyle="Normal 2">
      <calculatedColumnFormula>IFERROR(Reserve_Analysis3[[#This Row],[Actual Reserves ]]/Reserve_Analysis3[[#This Row],[Required Reserves]],"")</calculatedColumnFormula>
      <totalsRowFormula>IF(ISERROR(Reserve_Analysis3[[#Totals],[Actual Reserves ]]/Reserve_Analysis3[[#Totals],[Required Reserves]]),"",H20/G20)</totalsRowFormula>
    </tableColumn>
    <tableColumn id="11" name="Amount to Fund Replac. " totalsRowFunction="sum" dataDxfId="26" totalsRowDxfId="25" dataCellStyle="Normal 2">
      <calculatedColumnFormula>IF(Reserve_Analysis3[[#This Row],[Actual Reserves ]]&gt;= Reserve_Analysis3[[#This Row],[Replac. Cost]],0,Reserve_Analysis3[[#This Row],[Replac. Cost]]-Reserve_Analysis3[[#This Row],[Actual Reserves ]])</calculatedColumnFormula>
    </tableColumn>
    <tableColumn id="12" name="Annual Replac. Cost" totalsRowFunction="sum" dataDxfId="24" totalsRowDxfId="23" dataCellStyle="Normal 2">
      <calculatedColumnFormula>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calculatedColumnFormula>
    </tableColumn>
  </tableColumns>
  <tableStyleInfo name="TableStyleLight15" showFirstColumn="0" showLastColumn="0" showRowStripes="1" showColumnStripes="0"/>
</table>
</file>

<file path=xl/tables/table11.xml><?xml version="1.0" encoding="utf-8"?>
<table xmlns="http://schemas.openxmlformats.org/spreadsheetml/2006/main" id="8" name="Reserve_Analysis789" displayName="Reserve_Analysis789" ref="A5:D27" totalsRowCount="1" headerRowDxfId="22" tableBorderDxfId="21">
  <autoFilter ref="A5:D26"/>
  <tableColumns count="4">
    <tableColumn id="1" name="Reserve Items" totalsRowLabel="Total: " dataDxfId="20" totalsRowDxfId="19" dataCellStyle="Normal 2"/>
    <tableColumn id="14" name="Replacement Cost" totalsRowFunction="sum" dataDxfId="18" totalsRowDxfId="17" dataCellStyle="Normal 2"/>
    <tableColumn id="5" name="Ratio Item to Total" totalsRowFunction="sum" dataDxfId="16" totalsRowDxfId="15" dataCellStyle="Normal 2">
      <calculatedColumnFormula>Reserve_Analysis789[[#This Row],[Replacement Cost]]/B3</calculatedColumnFormula>
    </tableColumn>
    <tableColumn id="6" name="Item Budgeted Amount" totalsRowFunction="sum" dataDxfId="14" totalsRowDxfId="13" dataCellStyle="Normal 2">
      <calculatedColumnFormula>E2*Reserve_Analysis789[[#This Row],[Ratio Item to Total]]</calculatedColumnFormula>
    </tableColumn>
  </tableColumns>
  <tableStyleInfo name="TableStyleLight15" showFirstColumn="0" showLastColumn="0" showRowStripes="1" showColumnStripes="0"/>
</table>
</file>

<file path=xl/tables/table2.xml><?xml version="1.0" encoding="utf-8"?>
<table xmlns="http://schemas.openxmlformats.org/spreadsheetml/2006/main" id="2" name="Budget_Revenue" displayName="Budget_Revenue" ref="A8:G19" totalsRowCount="1" headerRowDxfId="203" totalsRowDxfId="200" headerRowBorderDxfId="202" tableBorderDxfId="201" headerRowCellStyle="Currency">
  <autoFilter ref="A8:G18"/>
  <tableColumns count="7">
    <tableColumn id="1" name="REVENUE:" totalsRowLabel="Total Revenue :" dataDxfId="199" totalsRowDxfId="198"/>
    <tableColumn id="2" name="Prior Monthly" totalsRowFunction="sum" dataDxfId="197" totalsRowDxfId="196" dataCellStyle="Currency">
      <calculatedColumnFormula>IF(ISERROR(ROUND(Budget_Revenue[[#This Row],[Prior Annual]]/($F$1*12),2)),0,ROUND(Budget_Revenue[[#This Row],[Prior Annual]]/($F$1*12),2))</calculatedColumnFormula>
    </tableColumn>
    <tableColumn id="3" name="Prior Annual" totalsRowFunction="sum" dataDxfId="195" totalsRowDxfId="194" dataCellStyle="Currency"/>
    <tableColumn id="4" name="Prior Actual" totalsRowFunction="sum" dataDxfId="193" totalsRowDxfId="192" dataCellStyle="Currency"/>
    <tableColumn id="5" name="Current Monthly" totalsRowFunction="sum" dataDxfId="191" totalsRowDxfId="190" dataCellStyle="Currency">
      <calculatedColumnFormula>IF(ISERROR(ROUND(Budget_Revenue[[#This Row],[Current Annual]]/($F$1*12),2)),0,(ROUND(Budget_Revenue[[#This Row],[Current Annual]]/($F$1*12),2)))</calculatedColumnFormula>
    </tableColumn>
    <tableColumn id="6" name="Current Annual" totalsRowFunction="sum" dataDxfId="189" totalsRowDxfId="188" dataCellStyle="Currency"/>
    <tableColumn id="7" name="Monthly  Change" totalsRowFunction="sum" dataDxfId="187" totalsRowDxfId="186" dataCellStyle="Currency">
      <calculatedColumnFormula>SUM(Budget_Revenue[[#This Row],[Current Monthly]]-Budget_Revenue[[#This Row],[Prior Monthly]])</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3" name="Operation_Expenses" displayName="Operation_Expenses" ref="A23:G39" totalsRowCount="1" headerRowDxfId="185" tableBorderDxfId="184">
  <autoFilter ref="A23:G38"/>
  <tableColumns count="7">
    <tableColumn id="1" name="OPERATING EXPENSES:" totalsRowLabel="Subtotal Operating Expenses:" dataDxfId="183" totalsRowDxfId="182"/>
    <tableColumn id="2" name="Prior Monthly" totalsRowFunction="sum" dataDxfId="181" totalsRowDxfId="180" dataCellStyle="Currency">
      <calculatedColumnFormula>IF(ISERROR(ROUND(Operation_Expenses[[#This Row],[Prior Annual]]/($F$1*12),2)),0,ROUND(Operation_Expenses[[#This Row],[Prior Annual]]/($F$1*12),2))</calculatedColumnFormula>
    </tableColumn>
    <tableColumn id="3" name="Prior Annual" totalsRowFunction="sum" dataDxfId="179" totalsRowDxfId="178" dataCellStyle="Currency"/>
    <tableColumn id="4" name="Prior Actual" totalsRowFunction="sum" dataDxfId="177" totalsRowDxfId="176" dataCellStyle="Currency"/>
    <tableColumn id="5" name="Current Monthly" totalsRowFunction="sum" dataDxfId="175" totalsRowDxfId="174" dataCellStyle="Currency">
      <calculatedColumnFormula>IF(ISERROR(ROUND(Operation_Expenses[[#This Row],[Current Annual]]/($F$1*12),2)),0,(ROUND(Operation_Expenses[[#This Row],[Current Annual]]/($F$1*12),2)))</calculatedColumnFormula>
    </tableColumn>
    <tableColumn id="6" name="Current Annual" totalsRowFunction="sum" dataDxfId="173" totalsRowDxfId="172" dataCellStyle="Currency"/>
    <tableColumn id="7" name="Monthly Change" totalsRowFunction="sum" dataDxfId="171" totalsRowDxfId="170" dataCellStyle="Currency">
      <calculatedColumnFormula>SUM(Operation_Expenses[[#This Row],[Current Monthly]]-Operation_Expenses[[#This Row],[Prior Monthly]])</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4" name="Reserve_Expenses" displayName="Reserve_Expenses" ref="A42:G64" totalsRowCount="1" headerRowDxfId="169" totalsRowDxfId="166" headerRowBorderDxfId="168" tableBorderDxfId="167" headerRowCellStyle="Currency">
  <autoFilter ref="A42:G63"/>
  <tableColumns count="7">
    <tableColumn id="1" name="RESERVE EXPENSES:" totalsRowLabel="Subtotal Reserve Expenses:" dataDxfId="165" totalsRowDxfId="164"/>
    <tableColumn id="2" name="Prior Monthly" totalsRowFunction="sum" dataDxfId="163" totalsRowDxfId="162" dataCellStyle="Currency">
      <calculatedColumnFormula>IF(ISERROR(ROUND(Reserve_Expenses[[#This Row],[Prior Annual]]/($F$1*12),2)),0,(ROUND(Reserve_Expenses[[#This Row],[Prior Annual]]/($F$1*12),2)))</calculatedColumnFormula>
    </tableColumn>
    <tableColumn id="3" name="Prior Annual" totalsRowFunction="sum" dataDxfId="161" totalsRowDxfId="160" dataCellStyle="Currency"/>
    <tableColumn id="4" name="Prior Actual" totalsRowFunction="sum" dataDxfId="159" totalsRowDxfId="158" dataCellStyle="Currency"/>
    <tableColumn id="5" name="Current Monthly" totalsRowFunction="sum" dataDxfId="157" totalsRowDxfId="156" dataCellStyle="Currency">
      <calculatedColumnFormula>IF(ISERROR(ROUND(Reserve_Expenses[[#This Row],[Current Annual]]/($F$1*12),2)),0,(ROUND(Reserve_Expenses[[#This Row],[Current Annual]]/($F$1*12),2)))</calculatedColumnFormula>
    </tableColumn>
    <tableColumn id="6" name="Current Annual" totalsRowFunction="sum" dataDxfId="155" totalsRowDxfId="154" dataCellStyle="Currency"/>
    <tableColumn id="7" name="Monthly Change" totalsRowFunction="sum" dataDxfId="153" totalsRowDxfId="152" dataCellStyle="Currency">
      <calculatedColumnFormula>SUM(Reserve_Expenses[[#This Row],[Current Monthly]]-Reserve_Expenses[[#This Row],[Prior Monthly]])</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9" name="Budget_Revenue10" displayName="Budget_Revenue10" ref="A7:G18" totalsRowCount="1" headerRowDxfId="151" dataDxfId="149" totalsRowDxfId="147" headerRowBorderDxfId="150" tableBorderDxfId="148" headerRowCellStyle="Currency">
  <autoFilter ref="A7:G17"/>
  <tableColumns count="7">
    <tableColumn id="1" name="REVENUE:" totalsRowLabel="Total Revenue :" dataDxfId="146" totalsRowDxfId="145"/>
    <tableColumn id="2" name="Prior Monthly" totalsRowFunction="sum" dataDxfId="144" totalsRowDxfId="143" dataCellStyle="Currency">
      <calculatedColumnFormula>IF(ISERROR(ROUND(Budget_Revenue10[[#This Row],[Prior Annual]]/($F$1*12),2)),0,ROUND(Budget_Revenue10[[#This Row],[Prior Annual]]/($F$1*12),2))</calculatedColumnFormula>
    </tableColumn>
    <tableColumn id="3" name="Prior Annual" totalsRowFunction="sum" dataDxfId="142" totalsRowDxfId="141" dataCellStyle="Currency"/>
    <tableColumn id="4" name="Prior Actual" totalsRowFunction="sum" dataDxfId="140" totalsRowDxfId="139" dataCellStyle="Currency"/>
    <tableColumn id="5" name="Current Monthly" totalsRowFunction="sum" dataDxfId="138" totalsRowDxfId="137" dataCellStyle="Currency">
      <calculatedColumnFormula>IF(ISERROR(ROUND(Budget_Revenue10[[#This Row],[Current Annual]]/($F$1*12),2)),0,(ROUND(Budget_Revenue10[[#This Row],[Current Annual]]/($F$1*12),2)))</calculatedColumnFormula>
    </tableColumn>
    <tableColumn id="6" name="Current Annual" totalsRowFunction="sum" dataDxfId="136" totalsRowDxfId="135" dataCellStyle="Currency"/>
    <tableColumn id="7" name="Monthly  Change" totalsRowFunction="sum" dataDxfId="134" totalsRowDxfId="133" dataCellStyle="Currency">
      <calculatedColumnFormula>SUM(Budget_Revenue10[[#This Row],[Current Monthly]]-Budget_Revenue10[[#This Row],[Prior Monthly]])</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0" name="Operation_Expenses11" displayName="Operation_Expenses11" ref="A22:G38" totalsRowCount="1" headerRowDxfId="132" dataDxfId="131" totalsRowDxfId="129" tableBorderDxfId="130">
  <autoFilter ref="A22:G37"/>
  <tableColumns count="7">
    <tableColumn id="1" name="OPERATING EXPENSES:" totalsRowLabel="Subtotal Operating Expenses:" dataDxfId="128" totalsRowDxfId="127"/>
    <tableColumn id="2" name="Prior Monthly" totalsRowFunction="sum" dataDxfId="126" totalsRowDxfId="125" dataCellStyle="Currency">
      <calculatedColumnFormula>IF(ISERROR(ROUND(Operation_Expenses11[[#This Row],[Prior Annual]]/($F$1*12),2)),0,ROUND(Operation_Expenses11[[#This Row],[Prior Annual]]/($F$1*12),2))</calculatedColumnFormula>
    </tableColumn>
    <tableColumn id="3" name="Prior Annual" totalsRowFunction="sum" dataDxfId="124" totalsRowDxfId="123" dataCellStyle="Currency"/>
    <tableColumn id="4" name="Prior Actual" totalsRowFunction="sum" dataDxfId="122" totalsRowDxfId="121" dataCellStyle="Currency"/>
    <tableColumn id="5" name="Current Monthly" totalsRowFunction="custom" dataDxfId="120" totalsRowDxfId="119" dataCellStyle="Currency">
      <calculatedColumnFormula>IF(ISERROR(ROUND(Operation_Expenses11[[#This Row],[Current Annual]]/($F$1*12),2)),0,(ROUND(Operation_Expenses11[[#This Row],[Current Annual]]/($F$1*12),2)))</calculatedColumnFormula>
      <totalsRowFormula>SUBTOTAL(109,Operation_Expenses11[Prior Monthly])</totalsRowFormula>
    </tableColumn>
    <tableColumn id="6" name="Current Annual" totalsRowFunction="sum" dataDxfId="118" totalsRowDxfId="117" dataCellStyle="Currency"/>
    <tableColumn id="7" name="Monthly Change" totalsRowFunction="sum" dataDxfId="116" totalsRowDxfId="115" dataCellStyle="Currency">
      <calculatedColumnFormula>SUM(Operation_Expenses11[[#This Row],[Current Monthly]]-Operation_Expenses11[[#This Row],[Prior Monthly]])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Reserve_Expenses12" displayName="Reserve_Expenses12" ref="A41:G57" totalsRowCount="1" headerRowDxfId="114" dataDxfId="112" totalsRowDxfId="110" headerRowBorderDxfId="113" tableBorderDxfId="111" headerRowCellStyle="Currency">
  <autoFilter ref="A41:G56"/>
  <tableColumns count="7">
    <tableColumn id="1" name="RESERVE EXPENSES:" totalsRowLabel="Subtotal Reserve Expenses:" dataDxfId="109" totalsRowDxfId="108"/>
    <tableColumn id="2" name="Prior Monthly" totalsRowFunction="sum" dataDxfId="107" totalsRowDxfId="106" dataCellStyle="Currency">
      <calculatedColumnFormula>IF(ISERROR(ROUND(Reserve_Expenses12[[#This Row],[Prior Annual]]/($F$1*12),2)),0,(ROUND(Reserve_Expenses12[[#This Row],[Prior Annual]]/($F$1*12),2)))</calculatedColumnFormula>
    </tableColumn>
    <tableColumn id="3" name="Prior Annual" totalsRowFunction="sum" dataDxfId="105" totalsRowDxfId="104" dataCellStyle="Currency"/>
    <tableColumn id="4" name="Prior Actual" totalsRowFunction="sum" dataDxfId="103" totalsRowDxfId="102" dataCellStyle="Currency"/>
    <tableColumn id="5" name="Current Monthly" totalsRowFunction="sum" dataDxfId="101" totalsRowDxfId="100" dataCellStyle="Currency">
      <calculatedColumnFormula>IF(ISERROR(ROUND(Reserve_Expenses12[[#This Row],[Current Annual]]/($F$1*12),2)),0,(ROUND(Reserve_Expenses12[[#This Row],[Current Annual]]/($F$1*12),2)))</calculatedColumnFormula>
    </tableColumn>
    <tableColumn id="6" name="Current Annual" totalsRowFunction="sum" dataDxfId="99" totalsRowDxfId="98" dataCellStyle="Currency"/>
    <tableColumn id="7" name="Monthly Change" totalsRowFunction="sum" dataDxfId="97" totalsRowDxfId="96" dataCellStyle="Currency">
      <calculatedColumnFormula>SUM(Reserve_Expenses12[[#This Row],[Current Monthly]]-Reserve_Expenses12[[#This Row],[Prior Monthly]])</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7" name="Reserve_Analysis8" displayName="Reserve_Analysis8" ref="A6:M29" totalsRowCount="1" headerRowDxfId="95" tableBorderDxfId="94">
  <autoFilter ref="A6:M28"/>
  <tableColumns count="13">
    <tableColumn id="1" name="Reserve Items" dataDxfId="93" totalsRowDxfId="12" dataCellStyle="Normal 2"/>
    <tableColumn id="2" name="Useful Life" dataDxfId="92" totalsRowDxfId="11" dataCellStyle="Normal 2"/>
    <tableColumn id="3" name="Yrs. in Use at Fiscal Yr. End" dataDxfId="91" totalsRowDxfId="10" dataCellStyle="Normal 2"/>
    <tableColumn id="4" name="Remain. Life" totalsRowLabel="Total:" dataDxfId="90" totalsRowDxfId="9" dataCellStyle="Normal 2">
      <calculatedColumnFormula>IFERROR(Reserve_Analysis8[[#This Row],[Useful Life]]-Reserve_Analysis8[[#This Row],[Yrs. in Use at Fiscal Yr. End]],"")</calculatedColumnFormula>
    </tableColumn>
    <tableColumn id="14" name="Initial Replac. Cost" totalsRowFunction="sum" dataDxfId="89" totalsRowDxfId="8" dataCellStyle="Normal 2"/>
    <tableColumn id="5" name="Initial Annual  Payment Amount" totalsRowFunction="sum" dataDxfId="88" totalsRowDxfId="7" dataCellStyle="Normal 2">
      <calculatedColumnFormula>IFERROR(Reserve_Analysis8[[#This Row],[Initial Replac. Cost]]/Reserve_Analysis8[[#This Row],[Useful Life]],"")</calculatedColumnFormula>
    </tableColumn>
    <tableColumn id="6" name="Required Reserves End of Fiscal Yr" totalsRowFunction="sum" dataDxfId="87" totalsRowDxfId="6" dataCellStyle="Normal 2">
      <calculatedColumnFormula>IFERROR(Reserve_Analysis8[[#This Row],[Yrs. in Use at Fiscal Yr. End]]*Reserve_Analysis8[[#This Row],[Initial Annual  Payment Amount]],"")</calculatedColumnFormula>
    </tableColumn>
    <tableColumn id="10" name="Budgeted Reserves This Fiscal Year" totalsRowFunction="sum" dataDxfId="86" totalsRowDxfId="5" dataCellStyle="Normal 2"/>
    <tableColumn id="7" name="Actual Reserves in Bank at Beginning of Fiscal Yr" totalsRowFunction="sum" dataDxfId="85" totalsRowDxfId="4" dataCellStyle="Normal 2"/>
    <tableColumn id="8" name="End of Fiscal Yr Adequate / (Shortage)" totalsRowFunction="sum" dataDxfId="84" totalsRowDxfId="3" dataCellStyle="Normal 2">
      <calculatedColumnFormula>IFERROR((Reserve_Analysis8[[#This Row],[Budgeted Reserves This Fiscal Year]]+Reserve_Analysis8[[#This Row],[Actual Reserves in Bank at Beginning of Fiscal Yr]])-Reserve_Analysis8[[#This Row],[Required Reserves End of Fiscal Yr]],"")</calculatedColumnFormula>
    </tableColumn>
    <tableColumn id="9" name="Percent Funded at Fiscal Yr. End" totalsRowFunction="custom" dataDxfId="83" totalsRowDxfId="2" dataCellStyle="Normal 2">
      <calculatedColumnFormula>IFERROR((Reserve_Analysis8[[#This Row],[Budgeted Reserves This Fiscal Year]]+Reserve_Analysis8[[#This Row],[Actual Reserves in Bank at Beginning of Fiscal Yr]])/Reserve_Analysis8[[#This Row],[Required Reserves End of Fiscal Yr]],"")</calculatedColumnFormula>
      <totalsRowFormula>IFERROR((H29+I29)/G29,0)</totalsRowFormula>
    </tableColumn>
    <tableColumn id="11" name="Remain. Amount to Fund Replac. Cost" totalsRowFunction="sum" dataDxfId="82" totalsRowDxfId="1" dataCellStyle="Normal 2">
      <calculatedColumnFormula>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calculatedColumnFormula>
    </tableColumn>
    <tableColumn id="12" name="Current Annual Replac. Cost" totalsRowFunction="sum" dataDxfId="81" totalsRowDxfId="0" dataCellStyle="Normal 2">
      <calculatedColumnFormula>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calculatedColumnFormula>
    </tableColumn>
  </tableColumns>
  <tableStyleInfo name="TableStyleLight15" showFirstColumn="0" showLastColumn="0" showRowStripes="1" showColumnStripes="0"/>
</table>
</file>

<file path=xl/tables/table9.xml><?xml version="1.0" encoding="utf-8"?>
<table xmlns="http://schemas.openxmlformats.org/spreadsheetml/2006/main" id="1" name="Reserve_Analysis" displayName="Reserve_Analysis" ref="A5:M28" totalsRowCount="1" headerRowDxfId="80" dataDxfId="79" totalsRowDxfId="77" tableBorderDxfId="78">
  <autoFilter ref="A5:M27"/>
  <tableColumns count="13">
    <tableColumn id="1" name="Reserve Items" dataDxfId="76" totalsRowDxfId="75" dataCellStyle="Normal 2"/>
    <tableColumn id="2" name="Useful Life" dataDxfId="74" totalsRowDxfId="73" dataCellStyle="Normal 2"/>
    <tableColumn id="3" name="Yrs. in Use at Fiscal Yr. End" dataDxfId="72" totalsRowDxfId="71" dataCellStyle="Normal 2"/>
    <tableColumn id="4" name="Remain. Life" totalsRowLabel="Total:" dataDxfId="70" totalsRowDxfId="69" dataCellStyle="Normal 2">
      <calculatedColumnFormula>IFERROR(Reserve_Analysis[[#This Row],[Useful Life]]-Reserve_Analysis[[#This Row],[Yrs. in Use at Fiscal Yr. End]],"")</calculatedColumnFormula>
    </tableColumn>
    <tableColumn id="14" name="Initial Replac. Cost" totalsRowFunction="sum" dataDxfId="68" totalsRowDxfId="67" dataCellStyle="Normal 2"/>
    <tableColumn id="5" name="Initial Annual  Payment Amount" totalsRowFunction="sum" dataDxfId="66" totalsRowDxfId="65" dataCellStyle="Normal 2">
      <calculatedColumnFormula>IFERROR(Reserve_Analysis[[#This Row],[Initial Replac. Cost]]/Reserve_Analysis[[#This Row],[Useful Life]],"")</calculatedColumnFormula>
    </tableColumn>
    <tableColumn id="6" name="Required Reserves End of Fiscal Yr" totalsRowFunction="sum" dataDxfId="64" totalsRowDxfId="63" dataCellStyle="Normal 2">
      <calculatedColumnFormula>IFERROR(Reserve_Analysis[[#This Row],[Yrs. in Use at Fiscal Yr. End]]*Reserve_Analysis[[#This Row],[Initial Annual  Payment Amount]],"")</calculatedColumnFormula>
    </tableColumn>
    <tableColumn id="10" name="Budgeted Reserves This Fiscal Year" totalsRowFunction="sum" dataDxfId="62" totalsRowDxfId="61" dataCellStyle="Normal 2"/>
    <tableColumn id="7" name="Actual Reserves in Bank at Beginning of Fiscal Yr" totalsRowFunction="sum" dataDxfId="60" totalsRowDxfId="59" dataCellStyle="Normal 2"/>
    <tableColumn id="8" name="End of Fiscal Yr Adequate / (Shortage)" totalsRowFunction="sum" dataDxfId="58" totalsRowDxfId="57" dataCellStyle="Normal 2">
      <calculatedColumnFormula>IFERROR(Reserve_Analysis[[#This Row],[Actual Reserves in Bank at Beginning of Fiscal Yr]]-Reserve_Analysis[[#This Row],[Required Reserves End of Fiscal Yr]],"")</calculatedColumnFormula>
    </tableColumn>
    <tableColumn id="9" name="Percent Funded at Fiscal Yr. End" totalsRowFunction="custom" dataDxfId="56" totalsRowDxfId="55" dataCellStyle="Normal 2">
      <calculatedColumnFormula>IFERROR(Reserve_Analysis[[#This Row],[Actual Reserves in Bank at Beginning of Fiscal Yr]]/Reserve_Analysis[[#This Row],[Required Reserves End of Fiscal Yr]],"")</calculatedColumnFormula>
      <totalsRowFormula>(H28+I28)/G28</totalsRowFormula>
    </tableColumn>
    <tableColumn id="11" name="Remain. Amount to Fund Replac. Cost" totalsRowFunction="sum" dataDxfId="54" totalsRowDxfId="53" dataCellStyle="Normal 2">
      <calculatedColumnFormula>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calculatedColumnFormula>
    </tableColumn>
    <tableColumn id="12" name="Current Annual Replac. Cost" totalsRowFunction="sum" dataDxfId="52" totalsRowDxfId="51" dataCellStyle="Normal 2">
      <calculatedColumnFormula>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view="pageLayout" zoomScaleNormal="100" workbookViewId="0">
      <selection sqref="A1:K33"/>
    </sheetView>
  </sheetViews>
  <sheetFormatPr defaultRowHeight="12.5" x14ac:dyDescent="0.25"/>
  <sheetData>
    <row r="1" spans="1:12" ht="12.75" customHeight="1" x14ac:dyDescent="0.25">
      <c r="A1" s="333" t="s">
        <v>77</v>
      </c>
      <c r="B1" s="334"/>
      <c r="C1" s="334"/>
      <c r="D1" s="334"/>
      <c r="E1" s="334"/>
      <c r="F1" s="334"/>
      <c r="G1" s="334"/>
      <c r="H1" s="334"/>
      <c r="I1" s="334"/>
      <c r="J1" s="334"/>
      <c r="K1" s="334"/>
      <c r="L1" s="9"/>
    </row>
    <row r="2" spans="1:12" x14ac:dyDescent="0.25">
      <c r="A2" s="334"/>
      <c r="B2" s="334"/>
      <c r="C2" s="334"/>
      <c r="D2" s="334"/>
      <c r="E2" s="334"/>
      <c r="F2" s="334"/>
      <c r="G2" s="334"/>
      <c r="H2" s="334"/>
      <c r="I2" s="334"/>
      <c r="J2" s="334"/>
      <c r="K2" s="334"/>
    </row>
    <row r="3" spans="1:12" x14ac:dyDescent="0.25">
      <c r="A3" s="334"/>
      <c r="B3" s="334"/>
      <c r="C3" s="334"/>
      <c r="D3" s="334"/>
      <c r="E3" s="334"/>
      <c r="F3" s="334"/>
      <c r="G3" s="334"/>
      <c r="H3" s="334"/>
      <c r="I3" s="334"/>
      <c r="J3" s="334"/>
      <c r="K3" s="334"/>
    </row>
    <row r="4" spans="1:12" x14ac:dyDescent="0.25">
      <c r="A4" s="334"/>
      <c r="B4" s="334"/>
      <c r="C4" s="334"/>
      <c r="D4" s="334"/>
      <c r="E4" s="334"/>
      <c r="F4" s="334"/>
      <c r="G4" s="334"/>
      <c r="H4" s="334"/>
      <c r="I4" s="334"/>
      <c r="J4" s="334"/>
      <c r="K4" s="334"/>
    </row>
    <row r="5" spans="1:12" x14ac:dyDescent="0.25">
      <c r="A5" s="334"/>
      <c r="B5" s="334"/>
      <c r="C5" s="334"/>
      <c r="D5" s="334"/>
      <c r="E5" s="334"/>
      <c r="F5" s="334"/>
      <c r="G5" s="334"/>
      <c r="H5" s="334"/>
      <c r="I5" s="334"/>
      <c r="J5" s="334"/>
      <c r="K5" s="334"/>
    </row>
    <row r="6" spans="1:12" x14ac:dyDescent="0.25">
      <c r="A6" s="334"/>
      <c r="B6" s="334"/>
      <c r="C6" s="334"/>
      <c r="D6" s="334"/>
      <c r="E6" s="334"/>
      <c r="F6" s="334"/>
      <c r="G6" s="334"/>
      <c r="H6" s="334"/>
      <c r="I6" s="334"/>
      <c r="J6" s="334"/>
      <c r="K6" s="334"/>
    </row>
    <row r="7" spans="1:12" x14ac:dyDescent="0.25">
      <c r="A7" s="334"/>
      <c r="B7" s="334"/>
      <c r="C7" s="334"/>
      <c r="D7" s="334"/>
      <c r="E7" s="334"/>
      <c r="F7" s="334"/>
      <c r="G7" s="334"/>
      <c r="H7" s="334"/>
      <c r="I7" s="334"/>
      <c r="J7" s="334"/>
      <c r="K7" s="334"/>
    </row>
    <row r="8" spans="1:12" x14ac:dyDescent="0.25">
      <c r="A8" s="334"/>
      <c r="B8" s="334"/>
      <c r="C8" s="334"/>
      <c r="D8" s="334"/>
      <c r="E8" s="334"/>
      <c r="F8" s="334"/>
      <c r="G8" s="334"/>
      <c r="H8" s="334"/>
      <c r="I8" s="334"/>
      <c r="J8" s="334"/>
      <c r="K8" s="334"/>
    </row>
    <row r="9" spans="1:12" x14ac:dyDescent="0.25">
      <c r="A9" s="334"/>
      <c r="B9" s="334"/>
      <c r="C9" s="334"/>
      <c r="D9" s="334"/>
      <c r="E9" s="334"/>
      <c r="F9" s="334"/>
      <c r="G9" s="334"/>
      <c r="H9" s="334"/>
      <c r="I9" s="334"/>
      <c r="J9" s="334"/>
      <c r="K9" s="334"/>
    </row>
    <row r="10" spans="1:12" x14ac:dyDescent="0.25">
      <c r="A10" s="334"/>
      <c r="B10" s="334"/>
      <c r="C10" s="334"/>
      <c r="D10" s="334"/>
      <c r="E10" s="334"/>
      <c r="F10" s="334"/>
      <c r="G10" s="334"/>
      <c r="H10" s="334"/>
      <c r="I10" s="334"/>
      <c r="J10" s="334"/>
      <c r="K10" s="334"/>
    </row>
    <row r="11" spans="1:12" x14ac:dyDescent="0.25">
      <c r="A11" s="334"/>
      <c r="B11" s="334"/>
      <c r="C11" s="334"/>
      <c r="D11" s="334"/>
      <c r="E11" s="334"/>
      <c r="F11" s="334"/>
      <c r="G11" s="334"/>
      <c r="H11" s="334"/>
      <c r="I11" s="334"/>
      <c r="J11" s="334"/>
      <c r="K11" s="334"/>
    </row>
    <row r="12" spans="1:12" x14ac:dyDescent="0.25">
      <c r="A12" s="334"/>
      <c r="B12" s="334"/>
      <c r="C12" s="334"/>
      <c r="D12" s="334"/>
      <c r="E12" s="334"/>
      <c r="F12" s="334"/>
      <c r="G12" s="334"/>
      <c r="H12" s="334"/>
      <c r="I12" s="334"/>
      <c r="J12" s="334"/>
      <c r="K12" s="334"/>
    </row>
    <row r="13" spans="1:12" x14ac:dyDescent="0.25">
      <c r="A13" s="334"/>
      <c r="B13" s="334"/>
      <c r="C13" s="334"/>
      <c r="D13" s="334"/>
      <c r="E13" s="334"/>
      <c r="F13" s="334"/>
      <c r="G13" s="334"/>
      <c r="H13" s="334"/>
      <c r="I13" s="334"/>
      <c r="J13" s="334"/>
      <c r="K13" s="334"/>
    </row>
    <row r="14" spans="1:12" x14ac:dyDescent="0.25">
      <c r="A14" s="334"/>
      <c r="B14" s="334"/>
      <c r="C14" s="334"/>
      <c r="D14" s="334"/>
      <c r="E14" s="334"/>
      <c r="F14" s="334"/>
      <c r="G14" s="334"/>
      <c r="H14" s="334"/>
      <c r="I14" s="334"/>
      <c r="J14" s="334"/>
      <c r="K14" s="334"/>
    </row>
    <row r="15" spans="1:12" x14ac:dyDescent="0.25">
      <c r="A15" s="334"/>
      <c r="B15" s="334"/>
      <c r="C15" s="334"/>
      <c r="D15" s="334"/>
      <c r="E15" s="334"/>
      <c r="F15" s="334"/>
      <c r="G15" s="334"/>
      <c r="H15" s="334"/>
      <c r="I15" s="334"/>
      <c r="J15" s="334"/>
      <c r="K15" s="334"/>
    </row>
    <row r="16" spans="1:12" x14ac:dyDescent="0.25">
      <c r="A16" s="334"/>
      <c r="B16" s="334"/>
      <c r="C16" s="334"/>
      <c r="D16" s="334"/>
      <c r="E16" s="334"/>
      <c r="F16" s="334"/>
      <c r="G16" s="334"/>
      <c r="H16" s="334"/>
      <c r="I16" s="334"/>
      <c r="J16" s="334"/>
      <c r="K16" s="334"/>
    </row>
    <row r="17" spans="1:11" x14ac:dyDescent="0.25">
      <c r="A17" s="334"/>
      <c r="B17" s="334"/>
      <c r="C17" s="334"/>
      <c r="D17" s="334"/>
      <c r="E17" s="334"/>
      <c r="F17" s="334"/>
      <c r="G17" s="334"/>
      <c r="H17" s="334"/>
      <c r="I17" s="334"/>
      <c r="J17" s="334"/>
      <c r="K17" s="334"/>
    </row>
    <row r="18" spans="1:11" x14ac:dyDescent="0.25">
      <c r="A18" s="334"/>
      <c r="B18" s="334"/>
      <c r="C18" s="334"/>
      <c r="D18" s="334"/>
      <c r="E18" s="334"/>
      <c r="F18" s="334"/>
      <c r="G18" s="334"/>
      <c r="H18" s="334"/>
      <c r="I18" s="334"/>
      <c r="J18" s="334"/>
      <c r="K18" s="334"/>
    </row>
    <row r="19" spans="1:11" x14ac:dyDescent="0.25">
      <c r="A19" s="334"/>
      <c r="B19" s="334"/>
      <c r="C19" s="334"/>
      <c r="D19" s="334"/>
      <c r="E19" s="334"/>
      <c r="F19" s="334"/>
      <c r="G19" s="334"/>
      <c r="H19" s="334"/>
      <c r="I19" s="334"/>
      <c r="J19" s="334"/>
      <c r="K19" s="334"/>
    </row>
    <row r="20" spans="1:11" x14ac:dyDescent="0.25">
      <c r="A20" s="334"/>
      <c r="B20" s="334"/>
      <c r="C20" s="334"/>
      <c r="D20" s="334"/>
      <c r="E20" s="334"/>
      <c r="F20" s="334"/>
      <c r="G20" s="334"/>
      <c r="H20" s="334"/>
      <c r="I20" s="334"/>
      <c r="J20" s="334"/>
      <c r="K20" s="334"/>
    </row>
    <row r="21" spans="1:11" x14ac:dyDescent="0.25">
      <c r="A21" s="334"/>
      <c r="B21" s="334"/>
      <c r="C21" s="334"/>
      <c r="D21" s="334"/>
      <c r="E21" s="334"/>
      <c r="F21" s="334"/>
      <c r="G21" s="334"/>
      <c r="H21" s="334"/>
      <c r="I21" s="334"/>
      <c r="J21" s="334"/>
      <c r="K21" s="334"/>
    </row>
    <row r="22" spans="1:11" x14ac:dyDescent="0.25">
      <c r="A22" s="334"/>
      <c r="B22" s="334"/>
      <c r="C22" s="334"/>
      <c r="D22" s="334"/>
      <c r="E22" s="334"/>
      <c r="F22" s="334"/>
      <c r="G22" s="334"/>
      <c r="H22" s="334"/>
      <c r="I22" s="334"/>
      <c r="J22" s="334"/>
      <c r="K22" s="334"/>
    </row>
    <row r="23" spans="1:11" x14ac:dyDescent="0.25">
      <c r="A23" s="334"/>
      <c r="B23" s="334"/>
      <c r="C23" s="334"/>
      <c r="D23" s="334"/>
      <c r="E23" s="334"/>
      <c r="F23" s="334"/>
      <c r="G23" s="334"/>
      <c r="H23" s="334"/>
      <c r="I23" s="334"/>
      <c r="J23" s="334"/>
      <c r="K23" s="334"/>
    </row>
    <row r="24" spans="1:11" x14ac:dyDescent="0.25">
      <c r="A24" s="334"/>
      <c r="B24" s="334"/>
      <c r="C24" s="334"/>
      <c r="D24" s="334"/>
      <c r="E24" s="334"/>
      <c r="F24" s="334"/>
      <c r="G24" s="334"/>
      <c r="H24" s="334"/>
      <c r="I24" s="334"/>
      <c r="J24" s="334"/>
      <c r="K24" s="334"/>
    </row>
    <row r="25" spans="1:11" x14ac:dyDescent="0.25">
      <c r="A25" s="334"/>
      <c r="B25" s="334"/>
      <c r="C25" s="334"/>
      <c r="D25" s="334"/>
      <c r="E25" s="334"/>
      <c r="F25" s="334"/>
      <c r="G25" s="334"/>
      <c r="H25" s="334"/>
      <c r="I25" s="334"/>
      <c r="J25" s="334"/>
      <c r="K25" s="334"/>
    </row>
    <row r="26" spans="1:11" x14ac:dyDescent="0.25">
      <c r="A26" s="334"/>
      <c r="B26" s="334"/>
      <c r="C26" s="334"/>
      <c r="D26" s="334"/>
      <c r="E26" s="334"/>
      <c r="F26" s="334"/>
      <c r="G26" s="334"/>
      <c r="H26" s="334"/>
      <c r="I26" s="334"/>
      <c r="J26" s="334"/>
      <c r="K26" s="334"/>
    </row>
    <row r="27" spans="1:11" x14ac:dyDescent="0.25">
      <c r="A27" s="334"/>
      <c r="B27" s="334"/>
      <c r="C27" s="334"/>
      <c r="D27" s="334"/>
      <c r="E27" s="334"/>
      <c r="F27" s="334"/>
      <c r="G27" s="334"/>
      <c r="H27" s="334"/>
      <c r="I27" s="334"/>
      <c r="J27" s="334"/>
      <c r="K27" s="334"/>
    </row>
    <row r="28" spans="1:11" x14ac:dyDescent="0.25">
      <c r="A28" s="334"/>
      <c r="B28" s="334"/>
      <c r="C28" s="334"/>
      <c r="D28" s="334"/>
      <c r="E28" s="334"/>
      <c r="F28" s="334"/>
      <c r="G28" s="334"/>
      <c r="H28" s="334"/>
      <c r="I28" s="334"/>
      <c r="J28" s="334"/>
      <c r="K28" s="334"/>
    </row>
    <row r="29" spans="1:11" x14ac:dyDescent="0.25">
      <c r="A29" s="334"/>
      <c r="B29" s="334"/>
      <c r="C29" s="334"/>
      <c r="D29" s="334"/>
      <c r="E29" s="334"/>
      <c r="F29" s="334"/>
      <c r="G29" s="334"/>
      <c r="H29" s="334"/>
      <c r="I29" s="334"/>
      <c r="J29" s="334"/>
      <c r="K29" s="334"/>
    </row>
    <row r="30" spans="1:11" x14ac:dyDescent="0.25">
      <c r="A30" s="334"/>
      <c r="B30" s="334"/>
      <c r="C30" s="334"/>
      <c r="D30" s="334"/>
      <c r="E30" s="334"/>
      <c r="F30" s="334"/>
      <c r="G30" s="334"/>
      <c r="H30" s="334"/>
      <c r="I30" s="334"/>
      <c r="J30" s="334"/>
      <c r="K30" s="334"/>
    </row>
    <row r="31" spans="1:11" x14ac:dyDescent="0.25">
      <c r="A31" s="334"/>
      <c r="B31" s="334"/>
      <c r="C31" s="334"/>
      <c r="D31" s="334"/>
      <c r="E31" s="334"/>
      <c r="F31" s="334"/>
      <c r="G31" s="334"/>
      <c r="H31" s="334"/>
      <c r="I31" s="334"/>
      <c r="J31" s="334"/>
      <c r="K31" s="334"/>
    </row>
    <row r="32" spans="1:11" x14ac:dyDescent="0.25">
      <c r="A32" s="334"/>
      <c r="B32" s="334"/>
      <c r="C32" s="334"/>
      <c r="D32" s="334"/>
      <c r="E32" s="334"/>
      <c r="F32" s="334"/>
      <c r="G32" s="334"/>
      <c r="H32" s="334"/>
      <c r="I32" s="334"/>
      <c r="J32" s="334"/>
      <c r="K32" s="334"/>
    </row>
    <row r="33" spans="1:11" x14ac:dyDescent="0.25">
      <c r="A33" s="334"/>
      <c r="B33" s="334"/>
      <c r="C33" s="334"/>
      <c r="D33" s="334"/>
      <c r="E33" s="334"/>
      <c r="F33" s="334"/>
      <c r="G33" s="334"/>
      <c r="H33" s="334"/>
      <c r="I33" s="334"/>
      <c r="J33" s="334"/>
      <c r="K33" s="334"/>
    </row>
    <row r="34" spans="1:11" x14ac:dyDescent="0.25">
      <c r="A34" s="35"/>
      <c r="B34" s="35"/>
      <c r="C34" s="35"/>
      <c r="D34" s="35"/>
      <c r="E34" s="35"/>
      <c r="F34" s="35"/>
      <c r="G34" s="35"/>
      <c r="H34" s="35"/>
      <c r="I34" s="35"/>
      <c r="J34" s="35"/>
      <c r="K34" s="35"/>
    </row>
    <row r="35" spans="1:11" x14ac:dyDescent="0.25">
      <c r="A35" s="35"/>
      <c r="B35" s="35"/>
      <c r="C35" s="35"/>
      <c r="D35" s="35"/>
      <c r="E35" s="35"/>
      <c r="F35" s="35"/>
      <c r="G35" s="35"/>
      <c r="H35" s="35"/>
      <c r="I35" s="35"/>
      <c r="J35" s="35"/>
      <c r="K35" s="35"/>
    </row>
    <row r="36" spans="1:11" x14ac:dyDescent="0.25">
      <c r="A36" s="35"/>
      <c r="B36" s="35"/>
      <c r="C36" s="35"/>
      <c r="D36" s="35"/>
      <c r="E36" s="35"/>
      <c r="F36" s="35"/>
      <c r="G36" s="35"/>
      <c r="H36" s="35"/>
      <c r="I36" s="35"/>
      <c r="J36" s="35"/>
      <c r="K36" s="35"/>
    </row>
    <row r="37" spans="1:11" x14ac:dyDescent="0.25">
      <c r="A37" s="35"/>
      <c r="B37" s="35"/>
      <c r="C37" s="35"/>
      <c r="D37" s="35"/>
      <c r="E37" s="35"/>
      <c r="F37" s="35"/>
      <c r="G37" s="35"/>
      <c r="H37" s="35"/>
      <c r="I37" s="35"/>
      <c r="J37" s="35"/>
      <c r="K37" s="35"/>
    </row>
    <row r="38" spans="1:11" x14ac:dyDescent="0.25">
      <c r="A38" s="35"/>
      <c r="B38" s="35"/>
      <c r="C38" s="35"/>
      <c r="D38" s="35"/>
      <c r="E38" s="35"/>
      <c r="F38" s="35"/>
      <c r="G38" s="35"/>
      <c r="H38" s="35"/>
      <c r="I38" s="35"/>
      <c r="J38" s="35"/>
      <c r="K38" s="35"/>
    </row>
    <row r="39" spans="1:11" x14ac:dyDescent="0.25">
      <c r="A39" s="35"/>
      <c r="B39" s="35"/>
      <c r="C39" s="35"/>
      <c r="D39" s="35"/>
      <c r="E39" s="35"/>
      <c r="F39" s="35"/>
      <c r="G39" s="35"/>
      <c r="H39" s="35"/>
      <c r="I39" s="35"/>
      <c r="J39" s="35"/>
      <c r="K39" s="35"/>
    </row>
    <row r="40" spans="1:11" x14ac:dyDescent="0.25">
      <c r="A40" s="35"/>
      <c r="B40" s="35"/>
      <c r="C40" s="35"/>
      <c r="D40" s="35"/>
      <c r="E40" s="35"/>
      <c r="F40" s="35"/>
      <c r="G40" s="35"/>
      <c r="H40" s="35"/>
      <c r="I40" s="35"/>
      <c r="J40" s="35"/>
      <c r="K40" s="35"/>
    </row>
    <row r="41" spans="1:11" x14ac:dyDescent="0.25">
      <c r="A41" s="35"/>
      <c r="B41" s="35"/>
      <c r="C41" s="35"/>
      <c r="D41" s="35"/>
      <c r="E41" s="35"/>
      <c r="F41" s="35"/>
      <c r="G41" s="35"/>
      <c r="H41" s="35"/>
      <c r="I41" s="35"/>
      <c r="J41" s="35"/>
      <c r="K41" s="35"/>
    </row>
    <row r="42" spans="1:11" x14ac:dyDescent="0.25">
      <c r="A42" s="35"/>
      <c r="B42" s="35"/>
      <c r="C42" s="35"/>
      <c r="D42" s="35"/>
      <c r="E42" s="35"/>
      <c r="F42" s="35"/>
      <c r="G42" s="35"/>
      <c r="H42" s="35"/>
      <c r="I42" s="35"/>
      <c r="J42" s="35"/>
      <c r="K42" s="35"/>
    </row>
    <row r="43" spans="1:11" x14ac:dyDescent="0.25">
      <c r="A43" s="35"/>
      <c r="B43" s="35"/>
      <c r="C43" s="35"/>
      <c r="D43" s="35"/>
      <c r="E43" s="35"/>
      <c r="F43" s="35"/>
      <c r="G43" s="35"/>
      <c r="H43" s="35"/>
      <c r="I43" s="35"/>
      <c r="J43" s="35"/>
      <c r="K43" s="35"/>
    </row>
    <row r="44" spans="1:11" x14ac:dyDescent="0.25">
      <c r="A44" s="35"/>
      <c r="B44" s="35"/>
      <c r="C44" s="35"/>
      <c r="D44" s="35"/>
      <c r="E44" s="35"/>
      <c r="F44" s="35"/>
      <c r="G44" s="35"/>
      <c r="H44" s="35"/>
      <c r="I44" s="35"/>
      <c r="J44" s="35"/>
      <c r="K44" s="35"/>
    </row>
    <row r="45" spans="1:11" x14ac:dyDescent="0.25">
      <c r="A45" s="35"/>
      <c r="B45" s="35"/>
      <c r="C45" s="35"/>
      <c r="D45" s="35"/>
      <c r="E45" s="35"/>
      <c r="F45" s="35"/>
      <c r="G45" s="35"/>
      <c r="H45" s="35"/>
      <c r="I45" s="35"/>
      <c r="J45" s="35"/>
      <c r="K45" s="35"/>
    </row>
    <row r="46" spans="1:11" x14ac:dyDescent="0.25">
      <c r="A46" s="35"/>
      <c r="B46" s="35"/>
      <c r="C46" s="35"/>
      <c r="D46" s="35"/>
      <c r="E46" s="35"/>
      <c r="F46" s="35"/>
      <c r="G46" s="35"/>
      <c r="H46" s="35"/>
      <c r="I46" s="35"/>
      <c r="J46" s="35"/>
      <c r="K46" s="35"/>
    </row>
    <row r="47" spans="1:11" x14ac:dyDescent="0.25">
      <c r="A47" s="35"/>
      <c r="B47" s="35"/>
      <c r="C47" s="35"/>
      <c r="D47" s="35"/>
      <c r="E47" s="35"/>
      <c r="F47" s="35"/>
      <c r="G47" s="35"/>
      <c r="H47" s="35"/>
      <c r="I47" s="35"/>
      <c r="J47" s="35"/>
      <c r="K47" s="35"/>
    </row>
    <row r="48" spans="1:11" x14ac:dyDescent="0.25">
      <c r="A48" s="35"/>
      <c r="B48" s="35"/>
      <c r="C48" s="35"/>
      <c r="D48" s="35"/>
      <c r="E48" s="35"/>
      <c r="F48" s="35"/>
      <c r="G48" s="35"/>
      <c r="H48" s="35"/>
      <c r="I48" s="35"/>
      <c r="J48" s="35"/>
      <c r="K48" s="35"/>
    </row>
    <row r="49" spans="1:11" x14ac:dyDescent="0.25">
      <c r="A49" s="35"/>
      <c r="B49" s="35"/>
      <c r="C49" s="35"/>
      <c r="D49" s="35"/>
      <c r="E49" s="35"/>
      <c r="F49" s="35"/>
      <c r="G49" s="35"/>
      <c r="H49" s="35"/>
      <c r="I49" s="35"/>
      <c r="J49" s="35"/>
      <c r="K49" s="35"/>
    </row>
    <row r="50" spans="1:11" x14ac:dyDescent="0.25">
      <c r="A50" s="35"/>
      <c r="B50" s="35"/>
      <c r="C50" s="35"/>
      <c r="D50" s="35"/>
      <c r="E50" s="35"/>
      <c r="F50" s="35"/>
      <c r="G50" s="35"/>
      <c r="H50" s="35"/>
      <c r="I50" s="35"/>
      <c r="J50" s="35"/>
      <c r="K50" s="35"/>
    </row>
    <row r="51" spans="1:11" x14ac:dyDescent="0.25">
      <c r="A51" s="35"/>
      <c r="B51" s="35"/>
      <c r="C51" s="35"/>
      <c r="D51" s="35"/>
      <c r="E51" s="35"/>
      <c r="F51" s="35"/>
      <c r="G51" s="35"/>
      <c r="H51" s="35"/>
      <c r="I51" s="35"/>
      <c r="J51" s="35"/>
      <c r="K51" s="35"/>
    </row>
    <row r="52" spans="1:11" x14ac:dyDescent="0.25">
      <c r="A52" s="35"/>
      <c r="B52" s="35"/>
      <c r="C52" s="35"/>
      <c r="D52" s="35"/>
      <c r="E52" s="35"/>
      <c r="F52" s="35"/>
      <c r="G52" s="35"/>
      <c r="H52" s="35"/>
      <c r="I52" s="35"/>
      <c r="J52" s="35"/>
      <c r="K52" s="35"/>
    </row>
    <row r="53" spans="1:11" x14ac:dyDescent="0.25">
      <c r="A53" s="35"/>
      <c r="B53" s="35"/>
      <c r="C53" s="35"/>
      <c r="D53" s="35"/>
      <c r="E53" s="35"/>
      <c r="F53" s="35"/>
      <c r="G53" s="35"/>
      <c r="H53" s="35"/>
      <c r="I53" s="35"/>
      <c r="J53" s="35"/>
      <c r="K53" s="35"/>
    </row>
    <row r="54" spans="1:11" x14ac:dyDescent="0.25">
      <c r="A54" s="35"/>
      <c r="B54" s="35"/>
      <c r="C54" s="35"/>
      <c r="D54" s="35"/>
      <c r="E54" s="35"/>
      <c r="F54" s="35"/>
      <c r="G54" s="35"/>
      <c r="H54" s="35"/>
      <c r="I54" s="35"/>
      <c r="J54" s="35"/>
      <c r="K54" s="35"/>
    </row>
    <row r="55" spans="1:11" x14ac:dyDescent="0.25">
      <c r="A55" s="35"/>
      <c r="B55" s="35"/>
      <c r="C55" s="35"/>
      <c r="D55" s="35"/>
      <c r="E55" s="35"/>
      <c r="F55" s="35"/>
      <c r="G55" s="35"/>
      <c r="H55" s="35"/>
      <c r="I55" s="35"/>
      <c r="J55" s="35"/>
      <c r="K55" s="35"/>
    </row>
  </sheetData>
  <sheetProtection algorithmName="SHA-512" hashValue="AJaSe2pD+rjwkGsbxmm0Cizn6cUMeKsl0YIStNNemCXFKXL4ObUMDYaGN2rqkCEbRNnsiykqI7T+LvNG5O8qGw==" saltValue="L77Uby6FqucPolayyAL49w==" spinCount="100000" sheet="1" objects="1" scenarios="1" selectLockedCells="1" selectUnlockedCells="1"/>
  <mergeCells count="1">
    <mergeCell ref="A1:K33"/>
  </mergeCells>
  <printOptions horizontalCentered="1"/>
  <pageMargins left="0.25" right="0.25" top="0.75" bottom="0.75" header="0.3" footer="0.3"/>
  <pageSetup orientation="portrait" r:id="rId1"/>
  <headerFooter>
    <oddHeader>&amp;C&amp;"Franklin Gothic Demi,Bold"&amp;12Workbook Instructions for:
BUDGET Worksheet and RESERVE ITEMS ANALYSIS Worksheet</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view="pageLayout" zoomScaleNormal="91" workbookViewId="0">
      <selection activeCell="B1" sqref="B1:E1"/>
    </sheetView>
  </sheetViews>
  <sheetFormatPr defaultColWidth="8.90625" defaultRowHeight="12.5" x14ac:dyDescent="0.25"/>
  <cols>
    <col min="1" max="1" width="23.36328125" style="40" customWidth="1"/>
    <col min="2" max="2" width="13.08984375" style="40" customWidth="1"/>
    <col min="3" max="3" width="11.08984375" style="40" customWidth="1"/>
    <col min="4" max="4" width="14.6328125" style="40" customWidth="1"/>
    <col min="5" max="5" width="15.90625" style="40" customWidth="1"/>
    <col min="6" max="6" width="13.6328125" style="40" customWidth="1"/>
    <col min="7" max="7" width="14" style="40" customWidth="1"/>
    <col min="8" max="9" width="13" style="40" customWidth="1"/>
    <col min="10" max="10" width="11.36328125" style="40" customWidth="1"/>
    <col min="11" max="11" width="14.6328125" style="40" customWidth="1"/>
    <col min="12" max="12" width="15.36328125" style="40" customWidth="1"/>
    <col min="13" max="13" width="8.90625" style="40"/>
    <col min="14" max="14" width="0" style="40" hidden="1" customWidth="1"/>
    <col min="15" max="16384" width="8.90625" style="40"/>
  </cols>
  <sheetData>
    <row r="1" spans="1:12" ht="13.5" x14ac:dyDescent="0.35">
      <c r="A1" s="318" t="s">
        <v>8</v>
      </c>
      <c r="B1" s="336"/>
      <c r="C1" s="336"/>
      <c r="D1" s="336"/>
      <c r="E1" s="336"/>
      <c r="F1" s="37"/>
      <c r="G1" s="337" t="s">
        <v>80</v>
      </c>
      <c r="H1" s="337"/>
      <c r="I1" s="265"/>
      <c r="J1" s="267"/>
      <c r="K1" s="270"/>
      <c r="L1" s="68"/>
    </row>
    <row r="2" spans="1:12" ht="13.5" x14ac:dyDescent="0.35">
      <c r="A2" s="318"/>
      <c r="B2" s="266"/>
      <c r="C2" s="266"/>
      <c r="D2" s="266"/>
      <c r="E2" s="266"/>
      <c r="F2" s="37"/>
      <c r="G2" s="317"/>
      <c r="H2" s="317"/>
      <c r="I2" s="267"/>
      <c r="J2" s="267"/>
      <c r="K2" s="270"/>
      <c r="L2" s="68"/>
    </row>
    <row r="3" spans="1:12" ht="13.5" x14ac:dyDescent="0.35">
      <c r="A3" s="318" t="s">
        <v>81</v>
      </c>
      <c r="B3" s="263">
        <f>B27</f>
        <v>0</v>
      </c>
      <c r="C3" s="338" t="s">
        <v>110</v>
      </c>
      <c r="D3" s="338"/>
      <c r="E3" s="273"/>
      <c r="F3" s="37"/>
      <c r="G3" s="317"/>
      <c r="H3" s="317"/>
      <c r="I3" s="267"/>
      <c r="J3" s="267"/>
      <c r="K3" s="270"/>
      <c r="L3" s="68"/>
    </row>
    <row r="4" spans="1:12" ht="16" x14ac:dyDescent="0.4">
      <c r="A4" s="257"/>
      <c r="B4" s="268"/>
      <c r="C4" s="69"/>
      <c r="D4" s="69"/>
      <c r="E4" s="69"/>
      <c r="F4" s="68"/>
      <c r="G4" s="70"/>
      <c r="H4" s="337"/>
      <c r="I4" s="339"/>
      <c r="J4" s="271"/>
      <c r="K4" s="68"/>
      <c r="L4" s="68"/>
    </row>
    <row r="5" spans="1:12" ht="27" x14ac:dyDescent="0.35">
      <c r="A5" s="50" t="s">
        <v>33</v>
      </c>
      <c r="B5" s="52" t="s">
        <v>85</v>
      </c>
      <c r="C5" s="52" t="s">
        <v>83</v>
      </c>
      <c r="D5" s="52" t="s">
        <v>84</v>
      </c>
      <c r="E5" s="267"/>
      <c r="F5" s="340" t="s">
        <v>109</v>
      </c>
      <c r="G5" s="341"/>
      <c r="H5" s="341"/>
      <c r="I5" s="341"/>
      <c r="J5" s="267"/>
      <c r="K5" s="267"/>
    </row>
    <row r="6" spans="1:12" ht="13.5" x14ac:dyDescent="0.35">
      <c r="A6" s="74" t="s">
        <v>108</v>
      </c>
      <c r="B6" s="55"/>
      <c r="C6" s="259" t="str">
        <f>IFERROR(Reserve_Analysis7897[[#This Row],[Replacement Cost]]/$B$3,"")</f>
        <v/>
      </c>
      <c r="D6" s="76" t="str">
        <f>IFERROR($E$3*Reserve_Analysis7897[[#This Row],[Ratio Item to Total]],"")</f>
        <v/>
      </c>
      <c r="E6" s="267"/>
      <c r="F6" s="341"/>
      <c r="G6" s="341"/>
      <c r="H6" s="341"/>
      <c r="I6" s="341"/>
      <c r="J6" s="267"/>
      <c r="K6" s="267"/>
    </row>
    <row r="7" spans="1:12" ht="13.5" x14ac:dyDescent="0.35">
      <c r="A7" s="77"/>
      <c r="B7" s="55"/>
      <c r="C7" s="259" t="str">
        <f>IFERROR(Reserve_Analysis7897[[#This Row],[Replacement Cost]]/$B$3,"")</f>
        <v/>
      </c>
      <c r="D7" s="76" t="str">
        <f>IFERROR($E$3*Reserve_Analysis7897[[#This Row],[Ratio Item to Total]],"")</f>
        <v/>
      </c>
      <c r="E7" s="267"/>
      <c r="F7" s="267"/>
      <c r="G7" s="267"/>
      <c r="H7" s="267"/>
      <c r="I7" s="267"/>
      <c r="J7" s="267"/>
      <c r="K7" s="267"/>
    </row>
    <row r="8" spans="1:12" ht="13.5" x14ac:dyDescent="0.35">
      <c r="A8" s="77"/>
      <c r="B8" s="55"/>
      <c r="C8" s="259" t="str">
        <f>IFERROR(Reserve_Analysis7897[[#This Row],[Replacement Cost]]/$B$3,"")</f>
        <v/>
      </c>
      <c r="D8" s="76" t="str">
        <f>IFERROR($E$3*Reserve_Analysis7897[[#This Row],[Ratio Item to Total]],"")</f>
        <v/>
      </c>
      <c r="E8" s="267"/>
      <c r="F8" s="267"/>
      <c r="G8" s="267"/>
      <c r="H8" s="267"/>
      <c r="I8" s="267"/>
      <c r="J8" s="267"/>
      <c r="K8" s="267"/>
    </row>
    <row r="9" spans="1:12" ht="13.5" x14ac:dyDescent="0.35">
      <c r="A9" s="77"/>
      <c r="B9" s="55"/>
      <c r="C9" s="259" t="str">
        <f>IFERROR(Reserve_Analysis7897[[#This Row],[Replacement Cost]]/$B$3,"")</f>
        <v/>
      </c>
      <c r="D9" s="76" t="str">
        <f>IFERROR($E$3*Reserve_Analysis7897[[#This Row],[Ratio Item to Total]],"")</f>
        <v/>
      </c>
      <c r="E9" s="267"/>
      <c r="F9" s="267"/>
      <c r="G9" s="267"/>
      <c r="H9" s="267"/>
      <c r="I9" s="267"/>
      <c r="J9" s="267"/>
      <c r="K9" s="267"/>
    </row>
    <row r="10" spans="1:12" ht="13.5" x14ac:dyDescent="0.35">
      <c r="A10" s="77"/>
      <c r="B10" s="55"/>
      <c r="C10" s="259" t="str">
        <f>IFERROR(Reserve_Analysis7897[[#This Row],[Replacement Cost]]/$B$3,"")</f>
        <v/>
      </c>
      <c r="D10" s="76" t="str">
        <f>IFERROR($E$3*Reserve_Analysis7897[[#This Row],[Ratio Item to Total]],"")</f>
        <v/>
      </c>
      <c r="E10" s="267"/>
      <c r="F10" s="267"/>
      <c r="G10" s="267"/>
      <c r="H10" s="267"/>
      <c r="I10" s="267"/>
      <c r="J10" s="267"/>
      <c r="K10" s="267"/>
    </row>
    <row r="11" spans="1:12" ht="13.5" x14ac:dyDescent="0.35">
      <c r="A11" s="77"/>
      <c r="B11" s="55"/>
      <c r="C11" s="259" t="str">
        <f>IFERROR(Reserve_Analysis7897[[#This Row],[Replacement Cost]]/$B$3,"")</f>
        <v/>
      </c>
      <c r="D11" s="76" t="str">
        <f>IFERROR($E$3*Reserve_Analysis7897[[#This Row],[Ratio Item to Total]],"")</f>
        <v/>
      </c>
      <c r="E11" s="267"/>
      <c r="F11" s="267"/>
      <c r="G11" s="267"/>
      <c r="H11" s="267"/>
      <c r="I11" s="267"/>
      <c r="J11" s="267"/>
      <c r="K11" s="267"/>
    </row>
    <row r="12" spans="1:12" ht="13.5" x14ac:dyDescent="0.35">
      <c r="A12" s="77"/>
      <c r="B12" s="55"/>
      <c r="C12" s="259" t="str">
        <f>IFERROR(Reserve_Analysis7897[[#This Row],[Replacement Cost]]/$B$3,"")</f>
        <v/>
      </c>
      <c r="D12" s="76" t="str">
        <f>IFERROR($E$3*Reserve_Analysis7897[[#This Row],[Ratio Item to Total]],"")</f>
        <v/>
      </c>
      <c r="E12" s="267"/>
      <c r="F12" s="267"/>
      <c r="G12" s="267"/>
      <c r="H12" s="267"/>
      <c r="I12" s="267"/>
      <c r="J12" s="267"/>
      <c r="K12" s="267"/>
    </row>
    <row r="13" spans="1:12" ht="13.5" x14ac:dyDescent="0.35">
      <c r="A13" s="77"/>
      <c r="B13" s="55"/>
      <c r="C13" s="259" t="str">
        <f>IFERROR(Reserve_Analysis7897[[#This Row],[Replacement Cost]]/$B$3,"")</f>
        <v/>
      </c>
      <c r="D13" s="76" t="str">
        <f>IFERROR($E$3*Reserve_Analysis7897[[#This Row],[Ratio Item to Total]],"")</f>
        <v/>
      </c>
      <c r="E13" s="267"/>
      <c r="F13" s="267"/>
      <c r="G13" s="267"/>
      <c r="H13" s="267"/>
      <c r="I13" s="267"/>
      <c r="J13" s="267"/>
      <c r="K13" s="267"/>
    </row>
    <row r="14" spans="1:12" ht="13.5" x14ac:dyDescent="0.35">
      <c r="A14" s="77"/>
      <c r="B14" s="55"/>
      <c r="C14" s="259" t="str">
        <f>IFERROR(Reserve_Analysis7897[[#This Row],[Replacement Cost]]/$B$3,"")</f>
        <v/>
      </c>
      <c r="D14" s="76" t="str">
        <f>IFERROR($E$3*Reserve_Analysis7897[[#This Row],[Ratio Item to Total]],"")</f>
        <v/>
      </c>
      <c r="E14" s="267"/>
      <c r="F14" s="267"/>
      <c r="G14" s="267"/>
      <c r="H14" s="267"/>
      <c r="I14" s="267"/>
      <c r="J14" s="267"/>
      <c r="K14" s="267"/>
    </row>
    <row r="15" spans="1:12" ht="13.5" x14ac:dyDescent="0.35">
      <c r="A15" s="77"/>
      <c r="B15" s="55"/>
      <c r="C15" s="259" t="str">
        <f>IFERROR(Reserve_Analysis7897[[#This Row],[Replacement Cost]]/$B$3,"")</f>
        <v/>
      </c>
      <c r="D15" s="76" t="str">
        <f>IFERROR($E$3*Reserve_Analysis7897[[#This Row],[Ratio Item to Total]],"")</f>
        <v/>
      </c>
      <c r="E15" s="267"/>
      <c r="F15" s="267"/>
      <c r="G15" s="267"/>
      <c r="H15" s="267"/>
      <c r="I15" s="267"/>
      <c r="J15" s="267"/>
      <c r="K15" s="267"/>
    </row>
    <row r="16" spans="1:12" ht="13.5" x14ac:dyDescent="0.35">
      <c r="A16" s="77"/>
      <c r="B16" s="55"/>
      <c r="C16" s="259" t="str">
        <f>IFERROR(Reserve_Analysis7897[[#This Row],[Replacement Cost]]/$B$3,"")</f>
        <v/>
      </c>
      <c r="D16" s="76" t="str">
        <f>IFERROR($E$3*Reserve_Analysis7897[[#This Row],[Ratio Item to Total]],"")</f>
        <v/>
      </c>
      <c r="E16" s="267"/>
      <c r="F16" s="267"/>
      <c r="G16" s="267"/>
      <c r="H16" s="267"/>
      <c r="I16" s="267"/>
      <c r="J16" s="267"/>
      <c r="K16" s="267"/>
    </row>
    <row r="17" spans="1:12" ht="13.5" x14ac:dyDescent="0.35">
      <c r="A17" s="77"/>
      <c r="B17" s="55"/>
      <c r="C17" s="259" t="str">
        <f>IFERROR(Reserve_Analysis7897[[#This Row],[Replacement Cost]]/$B$3,"")</f>
        <v/>
      </c>
      <c r="D17" s="76" t="str">
        <f>IFERROR($E$3*Reserve_Analysis7897[[#This Row],[Ratio Item to Total]],"")</f>
        <v/>
      </c>
      <c r="E17" s="267"/>
      <c r="F17" s="267"/>
      <c r="G17" s="267"/>
      <c r="H17" s="267"/>
      <c r="I17" s="267"/>
      <c r="J17" s="267"/>
      <c r="K17" s="267"/>
    </row>
    <row r="18" spans="1:12" ht="13.5" x14ac:dyDescent="0.35">
      <c r="A18" s="77"/>
      <c r="B18" s="55"/>
      <c r="C18" s="259" t="str">
        <f>IFERROR(Reserve_Analysis7897[[#This Row],[Replacement Cost]]/$B$3,"")</f>
        <v/>
      </c>
      <c r="D18" s="76" t="str">
        <f>IFERROR($E$3*Reserve_Analysis7897[[#This Row],[Ratio Item to Total]],"")</f>
        <v/>
      </c>
      <c r="E18" s="267"/>
      <c r="F18" s="267"/>
      <c r="G18" s="267"/>
      <c r="H18" s="267"/>
      <c r="I18" s="267"/>
      <c r="J18" s="267"/>
      <c r="K18" s="267"/>
    </row>
    <row r="19" spans="1:12" ht="13.5" x14ac:dyDescent="0.35">
      <c r="A19" s="77"/>
      <c r="B19" s="55"/>
      <c r="C19" s="259" t="str">
        <f>IFERROR(Reserve_Analysis7897[[#This Row],[Replacement Cost]]/$B$3,"")</f>
        <v/>
      </c>
      <c r="D19" s="76" t="str">
        <f>IFERROR($E$3*Reserve_Analysis7897[[#This Row],[Ratio Item to Total]],"")</f>
        <v/>
      </c>
      <c r="E19" s="267"/>
      <c r="F19" s="267"/>
      <c r="G19" s="267"/>
      <c r="H19" s="267"/>
      <c r="I19" s="267"/>
      <c r="J19" s="267"/>
      <c r="K19" s="267"/>
    </row>
    <row r="20" spans="1:12" ht="13.5" x14ac:dyDescent="0.35">
      <c r="A20" s="77"/>
      <c r="B20" s="55"/>
      <c r="C20" s="259" t="str">
        <f>IFERROR(Reserve_Analysis7897[[#This Row],[Replacement Cost]]/$B$3,"")</f>
        <v/>
      </c>
      <c r="D20" s="76" t="str">
        <f>IFERROR($E$3*Reserve_Analysis7897[[#This Row],[Ratio Item to Total]],"")</f>
        <v/>
      </c>
      <c r="E20" s="267"/>
      <c r="F20" s="267"/>
      <c r="G20" s="267"/>
      <c r="H20" s="267"/>
      <c r="I20" s="267"/>
      <c r="J20" s="267"/>
      <c r="K20" s="267"/>
    </row>
    <row r="21" spans="1:12" ht="13.5" x14ac:dyDescent="0.35">
      <c r="A21" s="77"/>
      <c r="B21" s="55"/>
      <c r="C21" s="259" t="str">
        <f>IFERROR(Reserve_Analysis7897[[#This Row],[Replacement Cost]]/$B$3,"")</f>
        <v/>
      </c>
      <c r="D21" s="76" t="str">
        <f>IFERROR($E$3*Reserve_Analysis7897[[#This Row],[Ratio Item to Total]],"")</f>
        <v/>
      </c>
      <c r="E21" s="267"/>
      <c r="F21" s="267"/>
      <c r="G21" s="267"/>
      <c r="H21" s="267"/>
      <c r="I21" s="267"/>
      <c r="J21" s="267"/>
      <c r="K21" s="267"/>
    </row>
    <row r="22" spans="1:12" ht="13.5" x14ac:dyDescent="0.35">
      <c r="A22" s="77"/>
      <c r="B22" s="55"/>
      <c r="C22" s="259" t="str">
        <f>IFERROR(Reserve_Analysis7897[[#This Row],[Replacement Cost]]/$B$3,"")</f>
        <v/>
      </c>
      <c r="D22" s="76" t="str">
        <f>IFERROR($E$3*Reserve_Analysis7897[[#This Row],[Ratio Item to Total]],"")</f>
        <v/>
      </c>
      <c r="E22" s="267"/>
      <c r="F22" s="267"/>
      <c r="G22" s="267"/>
      <c r="H22" s="267"/>
      <c r="I22" s="267"/>
      <c r="J22" s="267"/>
      <c r="K22" s="267"/>
    </row>
    <row r="23" spans="1:12" ht="13.5" x14ac:dyDescent="0.35">
      <c r="A23" s="77"/>
      <c r="B23" s="55"/>
      <c r="C23" s="259" t="str">
        <f>IFERROR(Reserve_Analysis7897[[#This Row],[Replacement Cost]]/$B$3,"")</f>
        <v/>
      </c>
      <c r="D23" s="76" t="str">
        <f>IFERROR($E$3*Reserve_Analysis7897[[#This Row],[Ratio Item to Total]],"")</f>
        <v/>
      </c>
      <c r="E23" s="267"/>
      <c r="F23" s="267"/>
      <c r="G23" s="267"/>
      <c r="H23" s="267"/>
      <c r="I23" s="267"/>
      <c r="J23" s="267"/>
      <c r="K23" s="267"/>
    </row>
    <row r="24" spans="1:12" ht="13.5" x14ac:dyDescent="0.35">
      <c r="A24" s="77"/>
      <c r="B24" s="55"/>
      <c r="C24" s="259" t="str">
        <f>IFERROR(Reserve_Analysis7897[[#This Row],[Replacement Cost]]/$B$3,"")</f>
        <v/>
      </c>
      <c r="D24" s="76" t="str">
        <f>IFERROR($E$3*Reserve_Analysis7897[[#This Row],[Ratio Item to Total]],"")</f>
        <v/>
      </c>
      <c r="E24" s="267"/>
      <c r="F24" s="267"/>
      <c r="G24" s="267"/>
      <c r="H24" s="267"/>
      <c r="I24" s="267"/>
      <c r="J24" s="267"/>
      <c r="K24" s="267"/>
    </row>
    <row r="25" spans="1:12" ht="13.5" x14ac:dyDescent="0.35">
      <c r="A25" s="77"/>
      <c r="B25" s="55"/>
      <c r="C25" s="259" t="str">
        <f>IFERROR(Reserve_Analysis7897[[#This Row],[Replacement Cost]]/$B$3,"")</f>
        <v/>
      </c>
      <c r="D25" s="76" t="str">
        <f>IFERROR($E$3*Reserve_Analysis7897[[#This Row],[Ratio Item to Total]],"")</f>
        <v/>
      </c>
      <c r="E25" s="267"/>
      <c r="F25" s="267"/>
      <c r="G25" s="267"/>
      <c r="H25" s="267"/>
      <c r="I25" s="267"/>
      <c r="J25" s="267"/>
      <c r="K25" s="267"/>
    </row>
    <row r="26" spans="1:12" ht="13.5" x14ac:dyDescent="0.35">
      <c r="A26" s="77"/>
      <c r="B26" s="55"/>
      <c r="C26" s="259" t="str">
        <f>IFERROR(Reserve_Analysis7897[[#This Row],[Replacement Cost]]/$B$3,"")</f>
        <v/>
      </c>
      <c r="D26" s="76" t="str">
        <f>IFERROR($E$3*Reserve_Analysis7897[[#This Row],[Ratio Item to Total]],"")</f>
        <v/>
      </c>
      <c r="E26" s="267"/>
      <c r="F26" s="267"/>
      <c r="G26" s="267"/>
      <c r="H26" s="267"/>
      <c r="I26" s="267"/>
      <c r="J26" s="267"/>
      <c r="K26" s="267"/>
    </row>
    <row r="27" spans="1:12" ht="13.5" x14ac:dyDescent="0.35">
      <c r="A27" s="269" t="s">
        <v>91</v>
      </c>
      <c r="B27" s="260">
        <f>SUBTOTAL(109,Reserve_Analysis7897[Replacement Cost])</f>
        <v>0</v>
      </c>
      <c r="C27" s="262">
        <f>SUBTOTAL(109,Reserve_Analysis7897[Ratio Item to Total])</f>
        <v>0</v>
      </c>
      <c r="D27" s="261">
        <f>SUBTOTAL(109,Reserve_Analysis7897[Item Budgeted Amount])</f>
        <v>0</v>
      </c>
      <c r="E27" s="267"/>
      <c r="F27" s="267"/>
      <c r="G27" s="267"/>
      <c r="H27" s="267"/>
      <c r="I27" s="267"/>
      <c r="J27" s="267"/>
      <c r="K27" s="267"/>
    </row>
    <row r="28" spans="1:12" ht="13.5" x14ac:dyDescent="0.35">
      <c r="A28" s="272"/>
      <c r="B28" s="73"/>
      <c r="C28" s="69"/>
      <c r="D28" s="69"/>
      <c r="E28" s="69"/>
      <c r="F28" s="68"/>
      <c r="G28" s="70"/>
      <c r="H28" s="73"/>
      <c r="I28" s="73"/>
      <c r="J28" s="68"/>
      <c r="K28" s="68"/>
      <c r="L28" s="68"/>
    </row>
    <row r="29" spans="1:12" ht="17.399999999999999" customHeight="1" x14ac:dyDescent="0.25">
      <c r="A29" s="335" t="s">
        <v>112</v>
      </c>
      <c r="B29" s="335"/>
      <c r="C29" s="335"/>
      <c r="D29" s="335"/>
      <c r="E29" s="335"/>
      <c r="F29" s="335"/>
      <c r="G29" s="335"/>
      <c r="H29" s="335"/>
      <c r="I29" s="316"/>
      <c r="J29" s="316"/>
      <c r="K29" s="316"/>
      <c r="L29" s="316"/>
    </row>
    <row r="30" spans="1:12" ht="12.75" customHeight="1" x14ac:dyDescent="0.25">
      <c r="A30" s="316"/>
      <c r="B30" s="316"/>
      <c r="C30" s="316"/>
      <c r="D30" s="316"/>
      <c r="E30" s="316"/>
      <c r="F30" s="316"/>
      <c r="G30" s="316"/>
      <c r="H30" s="316"/>
      <c r="I30" s="316"/>
      <c r="J30" s="316"/>
      <c r="K30" s="316"/>
      <c r="L30" s="316"/>
    </row>
    <row r="31" spans="1:12" ht="12.75" customHeight="1" x14ac:dyDescent="0.25">
      <c r="A31" s="316"/>
      <c r="B31" s="316"/>
      <c r="C31" s="316"/>
      <c r="D31" s="316"/>
      <c r="E31" s="316"/>
      <c r="F31" s="316"/>
      <c r="G31" s="316"/>
      <c r="H31" s="316"/>
      <c r="I31" s="316"/>
      <c r="J31" s="316"/>
      <c r="K31" s="316"/>
      <c r="L31" s="316"/>
    </row>
    <row r="32" spans="1:12" ht="12.75" customHeight="1" x14ac:dyDescent="0.25">
      <c r="A32" s="316"/>
      <c r="B32" s="316"/>
      <c r="C32" s="316"/>
      <c r="D32" s="316"/>
      <c r="E32" s="316"/>
      <c r="F32" s="316"/>
      <c r="G32" s="316"/>
      <c r="H32" s="316"/>
      <c r="I32" s="316"/>
      <c r="J32" s="316"/>
      <c r="K32" s="316"/>
      <c r="L32" s="316"/>
    </row>
    <row r="33" spans="1:12" ht="16.5" customHeight="1" x14ac:dyDescent="0.25">
      <c r="A33" s="316"/>
      <c r="B33" s="316"/>
      <c r="C33" s="316"/>
      <c r="D33" s="316"/>
      <c r="E33" s="316"/>
      <c r="F33" s="316"/>
      <c r="G33" s="316"/>
      <c r="H33" s="316"/>
      <c r="I33" s="316"/>
      <c r="J33" s="316"/>
      <c r="K33" s="316"/>
      <c r="L33" s="316"/>
    </row>
    <row r="34" spans="1:12" ht="12.75" customHeight="1" x14ac:dyDescent="0.25">
      <c r="A34" s="63"/>
      <c r="B34" s="63"/>
      <c r="C34" s="63"/>
      <c r="D34" s="63"/>
      <c r="E34" s="63"/>
      <c r="F34" s="63"/>
      <c r="G34" s="63"/>
      <c r="H34" s="63"/>
      <c r="I34" s="63"/>
      <c r="J34" s="63"/>
      <c r="K34" s="63"/>
      <c r="L34" s="63"/>
    </row>
    <row r="35" spans="1:12" ht="12.75" customHeight="1" x14ac:dyDescent="0.25">
      <c r="A35" s="335"/>
      <c r="B35" s="335"/>
      <c r="C35" s="335"/>
      <c r="D35" s="335"/>
      <c r="E35" s="335"/>
      <c r="F35" s="335"/>
      <c r="G35" s="335"/>
      <c r="H35" s="335"/>
      <c r="I35" s="335"/>
      <c r="J35" s="335"/>
      <c r="K35" s="335"/>
      <c r="L35" s="335"/>
    </row>
    <row r="36" spans="1:12" ht="12.75" customHeight="1" x14ac:dyDescent="0.25">
      <c r="A36" s="335"/>
      <c r="B36" s="335"/>
      <c r="C36" s="335"/>
      <c r="D36" s="335"/>
      <c r="E36" s="335"/>
      <c r="F36" s="335"/>
      <c r="G36" s="335"/>
      <c r="H36" s="335"/>
      <c r="I36" s="335"/>
      <c r="J36" s="335"/>
      <c r="K36" s="335"/>
      <c r="L36" s="335"/>
    </row>
    <row r="37" spans="1:12" ht="12.75" customHeight="1" x14ac:dyDescent="0.25">
      <c r="A37" s="335"/>
      <c r="B37" s="335"/>
      <c r="C37" s="335"/>
      <c r="D37" s="335"/>
      <c r="E37" s="335"/>
      <c r="F37" s="335"/>
      <c r="G37" s="335"/>
      <c r="H37" s="335"/>
      <c r="I37" s="335"/>
      <c r="J37" s="335"/>
      <c r="K37" s="335"/>
      <c r="L37" s="335"/>
    </row>
    <row r="38" spans="1:12" ht="13.25" customHeight="1" x14ac:dyDescent="0.25">
      <c r="A38" s="335"/>
      <c r="B38" s="335"/>
      <c r="C38" s="335"/>
      <c r="D38" s="335"/>
      <c r="E38" s="335"/>
      <c r="F38" s="335"/>
      <c r="G38" s="335"/>
      <c r="H38" s="335"/>
      <c r="I38" s="335"/>
      <c r="J38" s="335"/>
      <c r="K38" s="335"/>
      <c r="L38" s="335"/>
    </row>
    <row r="39" spans="1:12" x14ac:dyDescent="0.25">
      <c r="A39" s="335"/>
      <c r="B39" s="335"/>
      <c r="C39" s="335"/>
      <c r="D39" s="335"/>
      <c r="E39" s="335"/>
      <c r="F39" s="335"/>
      <c r="G39" s="335"/>
      <c r="H39" s="335"/>
      <c r="I39" s="335"/>
      <c r="J39" s="335"/>
      <c r="K39" s="335"/>
      <c r="L39" s="335"/>
    </row>
  </sheetData>
  <sheetProtection algorithmName="SHA-512" hashValue="N0poOTyhuORs/B8je2ZclEQJTxG3yTdXMexOz8L7nFZfmakpsqQx4Cqu3I0Tz/buH1G1t0Zigw4JtM1Rb5H30Q==" saltValue="IJt62yUYc3Iffx/3DEsUBg==" spinCount="100000" sheet="1" objects="1" scenarios="1" selectLockedCells="1"/>
  <mergeCells count="7">
    <mergeCell ref="A35:L39"/>
    <mergeCell ref="B1:E1"/>
    <mergeCell ref="G1:H1"/>
    <mergeCell ref="C3:D3"/>
    <mergeCell ref="H4:I4"/>
    <mergeCell ref="F5:I6"/>
    <mergeCell ref="A29:H29"/>
  </mergeCells>
  <pageMargins left="0.25" right="0.25" top="0.75" bottom="0.75" header="0.3" footer="0.3"/>
  <pageSetup scale="79" orientation="landscape" r:id="rId1"/>
  <headerFooter>
    <oddHeader>&amp;C&amp;"Arial,Bold"&amp;14Allocate Reserve Funds to Items&amp;KFF0000*&amp;"Arial,Regular"&amp;10&amp;K000000
Version: 1.20</oddHead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81"/>
  <sheetViews>
    <sheetView showZeros="0" view="pageLayout" zoomScaleNormal="100" workbookViewId="0">
      <selection activeCell="C14" sqref="C14"/>
    </sheetView>
  </sheetViews>
  <sheetFormatPr defaultRowHeight="12.5" x14ac:dyDescent="0.25"/>
  <cols>
    <col min="1" max="1" width="27.453125" customWidth="1"/>
    <col min="2" max="2" width="16.453125" customWidth="1"/>
    <col min="3" max="3" width="15.453125" customWidth="1"/>
    <col min="4" max="4" width="15.90625" customWidth="1"/>
    <col min="5" max="5" width="18.36328125" customWidth="1"/>
    <col min="6" max="6" width="17.453125" customWidth="1"/>
    <col min="7" max="7" width="18.6328125" customWidth="1"/>
    <col min="8" max="8" width="13.36328125" customWidth="1"/>
    <col min="9" max="9" width="12.90625" customWidth="1"/>
    <col min="10" max="10" width="12.453125" customWidth="1"/>
    <col min="11" max="11" width="10.36328125" bestFit="1" customWidth="1"/>
    <col min="12" max="12" width="11.36328125" bestFit="1" customWidth="1"/>
  </cols>
  <sheetData>
    <row r="1" spans="1:11" ht="17.25" customHeight="1" x14ac:dyDescent="0.3">
      <c r="A1" s="231" t="s">
        <v>25</v>
      </c>
      <c r="B1" s="342"/>
      <c r="C1" s="342"/>
      <c r="D1" s="342"/>
      <c r="E1" s="7" t="s">
        <v>16</v>
      </c>
      <c r="F1" s="94"/>
      <c r="H1" s="150"/>
      <c r="I1" s="150"/>
    </row>
    <row r="2" spans="1:11" ht="17.25" customHeight="1" x14ac:dyDescent="0.3">
      <c r="A2" s="231"/>
      <c r="B2" s="234"/>
      <c r="C2" s="148" t="s">
        <v>17</v>
      </c>
      <c r="D2" s="95"/>
      <c r="E2" s="7"/>
      <c r="F2" s="235"/>
      <c r="G2" s="148"/>
      <c r="H2" s="239"/>
      <c r="I2" s="150"/>
    </row>
    <row r="3" spans="1:11" ht="18" customHeight="1" x14ac:dyDescent="0.3">
      <c r="A3" s="232" t="s">
        <v>6</v>
      </c>
      <c r="B3" s="32"/>
      <c r="C3" s="7"/>
      <c r="D3" s="2"/>
      <c r="F3" s="185" t="s">
        <v>56</v>
      </c>
      <c r="G3" s="213">
        <f>Operation_Expenses[[#Totals],[Current Monthly]]</f>
        <v>0</v>
      </c>
      <c r="H3" s="150"/>
      <c r="I3" s="150"/>
    </row>
    <row r="4" spans="1:11" ht="18.75" customHeight="1" x14ac:dyDescent="0.3">
      <c r="A4" s="148" t="s">
        <v>7</v>
      </c>
      <c r="B4" s="12"/>
      <c r="C4" s="7"/>
      <c r="D4" s="8" t="s">
        <v>9</v>
      </c>
      <c r="E4" s="110"/>
      <c r="F4" s="185" t="s">
        <v>59</v>
      </c>
      <c r="G4" s="214">
        <f>Reserve_Expenses[[#Totals],[Current Monthly]]</f>
        <v>0</v>
      </c>
      <c r="H4" s="150"/>
      <c r="I4" s="150"/>
    </row>
    <row r="5" spans="1:11" ht="16.25" customHeight="1" x14ac:dyDescent="0.3">
      <c r="A5" s="233"/>
      <c r="B5" s="5" t="s">
        <v>0</v>
      </c>
      <c r="C5" s="5" t="s">
        <v>0</v>
      </c>
      <c r="D5" s="5"/>
      <c r="E5" s="5"/>
      <c r="F5" s="186" t="s">
        <v>57</v>
      </c>
      <c r="G5" s="215">
        <f>G3+G4</f>
        <v>0</v>
      </c>
      <c r="H5" s="240"/>
      <c r="I5" s="150"/>
    </row>
    <row r="6" spans="1:11" ht="16.25" customHeight="1" x14ac:dyDescent="0.3">
      <c r="A6" s="233"/>
      <c r="B6" s="5"/>
      <c r="C6" s="5"/>
      <c r="D6" s="5"/>
      <c r="E6" s="5"/>
      <c r="F6" s="81"/>
      <c r="G6" s="82"/>
      <c r="H6" s="240"/>
      <c r="I6" s="150"/>
    </row>
    <row r="7" spans="1:11" s="2" customFormat="1" ht="15" customHeight="1" x14ac:dyDescent="0.3">
      <c r="A7" s="120" t="s">
        <v>48</v>
      </c>
      <c r="B7" s="223" t="s">
        <v>47</v>
      </c>
      <c r="C7" s="224" t="s">
        <v>48</v>
      </c>
      <c r="D7" s="224" t="s">
        <v>48</v>
      </c>
      <c r="E7" s="223" t="s">
        <v>47</v>
      </c>
      <c r="F7" s="224" t="s">
        <v>48</v>
      </c>
      <c r="G7" s="223" t="s">
        <v>47</v>
      </c>
      <c r="H7" s="241"/>
      <c r="I7" s="242"/>
    </row>
    <row r="8" spans="1:11" s="2" customFormat="1" ht="17" customHeight="1" x14ac:dyDescent="0.3">
      <c r="A8" s="123" t="s">
        <v>24</v>
      </c>
      <c r="B8" s="219" t="s">
        <v>18</v>
      </c>
      <c r="C8" s="220" t="s">
        <v>19</v>
      </c>
      <c r="D8" s="220" t="s">
        <v>20</v>
      </c>
      <c r="E8" s="221" t="s">
        <v>21</v>
      </c>
      <c r="F8" s="221" t="s">
        <v>22</v>
      </c>
      <c r="G8" s="221" t="s">
        <v>23</v>
      </c>
      <c r="H8" s="242"/>
      <c r="I8" s="242"/>
    </row>
    <row r="9" spans="1:11" ht="13" x14ac:dyDescent="0.3">
      <c r="A9" s="127" t="s">
        <v>1</v>
      </c>
      <c r="B9" s="187">
        <f>IF(ISERROR(ROUND(Budget_Revenue[[#This Row],[Prior Annual]]/($F$1*12),2)),0,ROUND(Budget_Revenue[[#This Row],[Prior Annual]]/($F$1*12),2))</f>
        <v>0</v>
      </c>
      <c r="C9" s="26"/>
      <c r="D9" s="26"/>
      <c r="E9" s="189">
        <f>IF(ISERROR(ROUND(Budget_Revenue[[#This Row],[Current Annual]]/($F$1*12),2)),0,(ROUND(Budget_Revenue[[#This Row],[Current Annual]]/($F$1*12),2)))</f>
        <v>0</v>
      </c>
      <c r="F9" s="13"/>
      <c r="G9" s="190">
        <f>SUM(Budget_Revenue[[#This Row],[Current Monthly]]-Budget_Revenue[[#This Row],[Prior Monthly]])</f>
        <v>0</v>
      </c>
      <c r="H9" s="150"/>
      <c r="I9" s="241"/>
      <c r="J9" s="3"/>
      <c r="K9" s="3"/>
    </row>
    <row r="10" spans="1:11" ht="13" x14ac:dyDescent="0.3">
      <c r="A10" s="103"/>
      <c r="B10" s="187">
        <f>IF(ISERROR(ROUND(Budget_Revenue[[#This Row],[Prior Annual]]/($F$1*12),2)),0,ROUND(Budget_Revenue[[#This Row],[Prior Annual]]/($F$1*12),2))</f>
        <v>0</v>
      </c>
      <c r="C10" s="26"/>
      <c r="D10" s="26"/>
      <c r="E10" s="189">
        <f>IF(ISERROR(ROUND(Budget_Revenue[[#This Row],[Current Annual]]/($F$1*12),2)),0,(ROUND(Budget_Revenue[[#This Row],[Current Annual]]/($F$1*12),2)))</f>
        <v>0</v>
      </c>
      <c r="F10" s="79"/>
      <c r="G10" s="191">
        <f>SUM(Budget_Revenue[[#This Row],[Current Monthly]]-Budget_Revenue[[#This Row],[Prior Monthly]])</f>
        <v>0</v>
      </c>
      <c r="H10" s="150"/>
      <c r="I10" s="241"/>
      <c r="J10" s="3"/>
      <c r="K10" s="3"/>
    </row>
    <row r="11" spans="1:11" ht="13" x14ac:dyDescent="0.3">
      <c r="A11" s="103"/>
      <c r="B11" s="187">
        <f>IF(ISERROR(ROUND(Budget_Revenue[[#This Row],[Prior Annual]]/($F$1*12),2)),0,ROUND(Budget_Revenue[[#This Row],[Prior Annual]]/($F$1*12),2))</f>
        <v>0</v>
      </c>
      <c r="C11" s="26"/>
      <c r="D11" s="26"/>
      <c r="E11" s="189">
        <f>IF(ISERROR(ROUND(Budget_Revenue[[#This Row],[Current Annual]]/($F$1*12),2)),0,(ROUND(Budget_Revenue[[#This Row],[Current Annual]]/($F$1*12),2)))</f>
        <v>0</v>
      </c>
      <c r="F11" s="79"/>
      <c r="G11" s="191">
        <f>SUM(Budget_Revenue[[#This Row],[Current Monthly]]-Budget_Revenue[[#This Row],[Prior Monthly]])</f>
        <v>0</v>
      </c>
      <c r="H11" s="150"/>
      <c r="I11" s="241"/>
      <c r="J11" s="3"/>
      <c r="K11" s="3"/>
    </row>
    <row r="12" spans="1:11" ht="13" x14ac:dyDescent="0.3">
      <c r="A12" s="103"/>
      <c r="B12" s="187">
        <f>IF(ISERROR(ROUND(Budget_Revenue[[#This Row],[Prior Annual]]/($F$1*12),2)),0,ROUND(Budget_Revenue[[#This Row],[Prior Annual]]/($F$1*12),2))</f>
        <v>0</v>
      </c>
      <c r="C12" s="26"/>
      <c r="D12" s="26"/>
      <c r="E12" s="189">
        <f>IF(ISERROR(ROUND(Budget_Revenue[[#This Row],[Current Annual]]/($F$1*12),2)),0,(ROUND(Budget_Revenue[[#This Row],[Current Annual]]/($F$1*12),2)))</f>
        <v>0</v>
      </c>
      <c r="F12" s="79"/>
      <c r="G12" s="191">
        <f>SUM(Budget_Revenue[[#This Row],[Current Monthly]]-Budget_Revenue[[#This Row],[Prior Monthly]])</f>
        <v>0</v>
      </c>
      <c r="H12" s="150"/>
      <c r="I12" s="241"/>
      <c r="J12" s="3"/>
      <c r="K12" s="3"/>
    </row>
    <row r="13" spans="1:11" ht="13" x14ac:dyDescent="0.3">
      <c r="A13" s="103"/>
      <c r="B13" s="187">
        <f>IF(ISERROR(ROUND(Budget_Revenue[[#This Row],[Prior Annual]]/($F$1*12),2)),0,ROUND(Budget_Revenue[[#This Row],[Prior Annual]]/($F$1*12),2))</f>
        <v>0</v>
      </c>
      <c r="C13" s="26"/>
      <c r="D13" s="26"/>
      <c r="E13" s="189">
        <f>IF(ISERROR(ROUND(Budget_Revenue[[#This Row],[Current Annual]]/($F$1*12),2)),0,(ROUND(Budget_Revenue[[#This Row],[Current Annual]]/($F$1*12),2)))</f>
        <v>0</v>
      </c>
      <c r="F13" s="79"/>
      <c r="G13" s="191">
        <f>SUM(Budget_Revenue[[#This Row],[Current Monthly]]-Budget_Revenue[[#This Row],[Prior Monthly]])</f>
        <v>0</v>
      </c>
      <c r="H13" s="150"/>
      <c r="I13" s="241"/>
      <c r="J13" s="3"/>
      <c r="K13" s="3"/>
    </row>
    <row r="14" spans="1:11" ht="13" x14ac:dyDescent="0.3">
      <c r="A14" s="103"/>
      <c r="B14" s="187">
        <f>IF(ISERROR(ROUND(Budget_Revenue[[#This Row],[Prior Annual]]/($F$1*12),2)),0,ROUND(Budget_Revenue[[#This Row],[Prior Annual]]/($F$1*12),2))</f>
        <v>0</v>
      </c>
      <c r="C14" s="26"/>
      <c r="D14" s="26"/>
      <c r="E14" s="189">
        <f>IF(ISERROR(ROUND(Budget_Revenue[[#This Row],[Current Annual]]/($F$1*12),2)),0,(ROUND(Budget_Revenue[[#This Row],[Current Annual]]/($F$1*12),2)))</f>
        <v>0</v>
      </c>
      <c r="F14" s="79"/>
      <c r="G14" s="191">
        <f>SUM(Budget_Revenue[[#This Row],[Current Monthly]]-Budget_Revenue[[#This Row],[Prior Monthly]])</f>
        <v>0</v>
      </c>
      <c r="H14" s="150"/>
      <c r="I14" s="241"/>
      <c r="J14" s="3"/>
      <c r="K14" s="3"/>
    </row>
    <row r="15" spans="1:11" ht="13" x14ac:dyDescent="0.3">
      <c r="A15" s="103"/>
      <c r="B15" s="187">
        <f>IF(ISERROR(ROUND(Budget_Revenue[[#This Row],[Prior Annual]]/($F$1*12),2)),0,ROUND(Budget_Revenue[[#This Row],[Prior Annual]]/($F$1*12),2))</f>
        <v>0</v>
      </c>
      <c r="C15" s="26"/>
      <c r="D15" s="26"/>
      <c r="E15" s="189">
        <f>IF(ISERROR(ROUND(Budget_Revenue[[#This Row],[Current Annual]]/($F$1*12),2)),0,(ROUND(Budget_Revenue[[#This Row],[Current Annual]]/($F$1*12),2)))</f>
        <v>0</v>
      </c>
      <c r="F15" s="79"/>
      <c r="G15" s="191">
        <f>SUM(Budget_Revenue[[#This Row],[Current Monthly]]-Budget_Revenue[[#This Row],[Prior Monthly]])</f>
        <v>0</v>
      </c>
      <c r="H15" s="150"/>
      <c r="I15" s="241"/>
      <c r="J15" s="3"/>
      <c r="K15" s="3"/>
    </row>
    <row r="16" spans="1:11" ht="13" x14ac:dyDescent="0.3">
      <c r="A16" s="103"/>
      <c r="B16" s="187">
        <f>IF(ISERROR(ROUND(Budget_Revenue[[#This Row],[Prior Annual]]/($F$1*12),2)),0,ROUND(Budget_Revenue[[#This Row],[Prior Annual]]/($F$1*12),2))</f>
        <v>0</v>
      </c>
      <c r="C16" s="26"/>
      <c r="D16" s="26"/>
      <c r="E16" s="189">
        <f>IF(ISERROR(ROUND(Budget_Revenue[[#This Row],[Current Annual]]/($F$1*12),2)),0,(ROUND(Budget_Revenue[[#This Row],[Current Annual]]/($F$1*12),2)))</f>
        <v>0</v>
      </c>
      <c r="F16" s="79"/>
      <c r="G16" s="191">
        <f>SUM(Budget_Revenue[[#This Row],[Current Monthly]]-Budget_Revenue[[#This Row],[Prior Monthly]])</f>
        <v>0</v>
      </c>
      <c r="H16" s="150"/>
      <c r="I16" s="241"/>
      <c r="J16" s="3"/>
      <c r="K16" s="3"/>
    </row>
    <row r="17" spans="1:11" ht="13" x14ac:dyDescent="0.3">
      <c r="A17" s="103"/>
      <c r="B17" s="187">
        <f>IF(ISERROR(ROUND(Budget_Revenue[[#This Row],[Prior Annual]]/($F$1*12),2)),0,ROUND(Budget_Revenue[[#This Row],[Prior Annual]]/($F$1*12),2))</f>
        <v>0</v>
      </c>
      <c r="C17" s="26"/>
      <c r="D17" s="26"/>
      <c r="E17" s="189">
        <f>IF(ISERROR(ROUND(Budget_Revenue[[#This Row],[Current Annual]]/($F$1*12),2)),0,(ROUND(Budget_Revenue[[#This Row],[Current Annual]]/($F$1*12),2)))</f>
        <v>0</v>
      </c>
      <c r="F17" s="79"/>
      <c r="G17" s="191">
        <f>SUM(Budget_Revenue[[#This Row],[Current Monthly]]-Budget_Revenue[[#This Row],[Prior Monthly]])</f>
        <v>0</v>
      </c>
      <c r="H17" s="150"/>
      <c r="I17" s="241"/>
      <c r="J17" s="3"/>
      <c r="K17" s="3"/>
    </row>
    <row r="18" spans="1:11" ht="13" x14ac:dyDescent="0.3">
      <c r="A18" s="103"/>
      <c r="B18" s="187">
        <f>IF(ISERROR(ROUND(Budget_Revenue[[#This Row],[Prior Annual]]/($F$1*12),2)),0,ROUND(Budget_Revenue[[#This Row],[Prior Annual]]/($F$1*12),2))</f>
        <v>0</v>
      </c>
      <c r="C18" s="26"/>
      <c r="D18" s="26"/>
      <c r="E18" s="189">
        <f>IF(ISERROR(ROUND(Budget_Revenue[[#This Row],[Current Annual]]/($F$1*12),2)),0,(ROUND(Budget_Revenue[[#This Row],[Current Annual]]/($F$1*12),2)))</f>
        <v>0</v>
      </c>
      <c r="F18" s="79"/>
      <c r="G18" s="191">
        <f>SUM(Budget_Revenue[[#This Row],[Current Monthly]]-Budget_Revenue[[#This Row],[Prior Monthly]])</f>
        <v>0</v>
      </c>
      <c r="H18" s="150"/>
      <c r="I18" s="241"/>
      <c r="J18" s="3"/>
      <c r="K18" s="3"/>
    </row>
    <row r="19" spans="1:11" ht="13" x14ac:dyDescent="0.3">
      <c r="A19" s="129" t="s">
        <v>58</v>
      </c>
      <c r="B19" s="188">
        <f>SUBTOTAL(109,Budget_Revenue[Prior Monthly])</f>
        <v>0</v>
      </c>
      <c r="C19" s="34">
        <f>SUBTOTAL(109,Budget_Revenue[Prior Annual])</f>
        <v>0</v>
      </c>
      <c r="D19" s="34">
        <f>SUBTOTAL(109,Budget_Revenue[Prior Actual])</f>
        <v>0</v>
      </c>
      <c r="E19" s="188">
        <f>SUBTOTAL(109,Budget_Revenue[Current Monthly])</f>
        <v>0</v>
      </c>
      <c r="F19" s="36">
        <f>SUBTOTAL(109,Budget_Revenue[Current Annual])</f>
        <v>0</v>
      </c>
      <c r="G19" s="188">
        <f>SUBTOTAL(109,Budget_Revenue[Monthly  Change])</f>
        <v>0</v>
      </c>
      <c r="H19" s="150"/>
      <c r="I19" s="150"/>
    </row>
    <row r="20" spans="1:11" ht="13" x14ac:dyDescent="0.3">
      <c r="A20" s="7"/>
      <c r="B20" s="28"/>
      <c r="C20" s="28"/>
      <c r="D20" s="28"/>
      <c r="E20" s="10"/>
      <c r="F20" s="10"/>
      <c r="G20" s="10"/>
      <c r="H20" s="150"/>
      <c r="I20" s="150"/>
    </row>
    <row r="21" spans="1:11" ht="13" x14ac:dyDescent="0.3">
      <c r="A21" s="7"/>
      <c r="B21" s="28"/>
      <c r="C21" s="28"/>
      <c r="D21" s="28"/>
      <c r="E21" s="10"/>
      <c r="F21" s="10"/>
      <c r="G21" s="10"/>
      <c r="H21" s="150"/>
      <c r="I21" s="150"/>
    </row>
    <row r="22" spans="1:11" ht="13" x14ac:dyDescent="0.3">
      <c r="A22" s="67" t="s">
        <v>48</v>
      </c>
      <c r="B22" s="223" t="s">
        <v>47</v>
      </c>
      <c r="C22" s="224" t="s">
        <v>48</v>
      </c>
      <c r="D22" s="224" t="s">
        <v>48</v>
      </c>
      <c r="E22" s="223" t="s">
        <v>47</v>
      </c>
      <c r="F22" s="224" t="s">
        <v>48</v>
      </c>
      <c r="G22" s="223" t="s">
        <v>47</v>
      </c>
      <c r="H22" s="150"/>
      <c r="I22" s="150"/>
      <c r="J22" s="3"/>
      <c r="K22" s="3"/>
    </row>
    <row r="23" spans="1:11" ht="13" x14ac:dyDescent="0.3">
      <c r="A23" s="222" t="s">
        <v>29</v>
      </c>
      <c r="B23" s="225" t="s">
        <v>18</v>
      </c>
      <c r="C23" s="226" t="s">
        <v>19</v>
      </c>
      <c r="D23" s="226" t="s">
        <v>20</v>
      </c>
      <c r="E23" s="227" t="s">
        <v>21</v>
      </c>
      <c r="F23" s="228" t="s">
        <v>22</v>
      </c>
      <c r="G23" s="228" t="s">
        <v>27</v>
      </c>
      <c r="H23" s="150"/>
      <c r="I23" s="150"/>
      <c r="J23" s="3"/>
      <c r="K23" s="3"/>
    </row>
    <row r="24" spans="1:11" ht="13" x14ac:dyDescent="0.3">
      <c r="A24" s="80" t="s">
        <v>28</v>
      </c>
      <c r="B24" s="192">
        <f>IF(ISERROR(ROUND(Operation_Expenses[[#This Row],[Prior Annual]]/($F$1*12),2)),0,ROUND(Operation_Expenses[[#This Row],[Prior Annual]]/($F$1*12),2))</f>
        <v>0</v>
      </c>
      <c r="C24" s="27"/>
      <c r="D24" s="27"/>
      <c r="E24" s="190">
        <f>IF(ISERROR(ROUND(Operation_Expenses[[#This Row],[Current Annual]]/($F$1*12),2)),0,(ROUND(Operation_Expenses[[#This Row],[Current Annual]]/($F$1*12),2)))</f>
        <v>0</v>
      </c>
      <c r="F24" s="14"/>
      <c r="G24" s="190">
        <f>SUM(Operation_Expenses[[#This Row],[Current Monthly]]-Operation_Expenses[[#This Row],[Prior Monthly]])</f>
        <v>0</v>
      </c>
      <c r="H24" s="150"/>
      <c r="I24" s="150"/>
      <c r="J24" s="3"/>
      <c r="K24" s="3"/>
    </row>
    <row r="25" spans="1:11" ht="13" x14ac:dyDescent="0.3">
      <c r="A25" s="103"/>
      <c r="B25" s="192">
        <f>IF(ISERROR(ROUND(Operation_Expenses[[#This Row],[Prior Annual]]/($F$1*12),2)),0,ROUND(Operation_Expenses[[#This Row],[Prior Annual]]/($F$1*12),2))</f>
        <v>0</v>
      </c>
      <c r="C25" s="27"/>
      <c r="D25" s="27"/>
      <c r="E25" s="190">
        <f>IF(ISERROR(ROUND(Operation_Expenses[[#This Row],[Current Annual]]/($F$1*12),2)),0,(ROUND(Operation_Expenses[[#This Row],[Current Annual]]/($F$1*12),2)))</f>
        <v>0</v>
      </c>
      <c r="F25" s="14"/>
      <c r="G25" s="190">
        <f>SUM(Operation_Expenses[[#This Row],[Current Monthly]]-Operation_Expenses[[#This Row],[Prior Monthly]])</f>
        <v>0</v>
      </c>
      <c r="H25" s="150"/>
      <c r="I25" s="150"/>
      <c r="J25" s="3"/>
      <c r="K25" s="3"/>
    </row>
    <row r="26" spans="1:11" ht="13" x14ac:dyDescent="0.3">
      <c r="A26" s="103"/>
      <c r="B26" s="192">
        <f>IF(ISERROR(ROUND(Operation_Expenses[[#This Row],[Prior Annual]]/($F$1*12),2)),0,ROUND(Operation_Expenses[[#This Row],[Prior Annual]]/($F$1*12),2))</f>
        <v>0</v>
      </c>
      <c r="C26" s="27"/>
      <c r="D26" s="27"/>
      <c r="E26" s="190">
        <f>IF(ISERROR(ROUND(Operation_Expenses[[#This Row],[Current Annual]]/($F$1*12),2)),0,(ROUND(Operation_Expenses[[#This Row],[Current Annual]]/($F$1*12),2)))</f>
        <v>0</v>
      </c>
      <c r="F26" s="14"/>
      <c r="G26" s="190">
        <f>SUM(Operation_Expenses[[#This Row],[Current Monthly]]-Operation_Expenses[[#This Row],[Prior Monthly]])</f>
        <v>0</v>
      </c>
      <c r="H26" s="150"/>
      <c r="I26" s="150"/>
      <c r="J26" s="3"/>
      <c r="K26" s="3"/>
    </row>
    <row r="27" spans="1:11" ht="13" x14ac:dyDescent="0.3">
      <c r="A27" s="103"/>
      <c r="B27" s="192">
        <f>IF(ISERROR(ROUND(Operation_Expenses[[#This Row],[Prior Annual]]/($F$1*12),2)),0,ROUND(Operation_Expenses[[#This Row],[Prior Annual]]/($F$1*12),2))</f>
        <v>0</v>
      </c>
      <c r="C27" s="27"/>
      <c r="D27" s="27"/>
      <c r="E27" s="190">
        <f>IF(ISERROR(ROUND(Operation_Expenses[[#This Row],[Current Annual]]/($F$1*12),2)),0,(ROUND(Operation_Expenses[[#This Row],[Current Annual]]/($F$1*12),2)))</f>
        <v>0</v>
      </c>
      <c r="F27" s="14"/>
      <c r="G27" s="190">
        <f>SUM(Operation_Expenses[[#This Row],[Current Monthly]]-Operation_Expenses[[#This Row],[Prior Monthly]])</f>
        <v>0</v>
      </c>
      <c r="H27" s="150"/>
      <c r="I27" s="150"/>
      <c r="J27" s="3"/>
      <c r="K27" s="3"/>
    </row>
    <row r="28" spans="1:11" ht="13" x14ac:dyDescent="0.3">
      <c r="A28" s="103"/>
      <c r="B28" s="192">
        <f>IF(ISERROR(ROUND(Operation_Expenses[[#This Row],[Prior Annual]]/($F$1*12),2)),0,ROUND(Operation_Expenses[[#This Row],[Prior Annual]]/($F$1*12),2))</f>
        <v>0</v>
      </c>
      <c r="C28" s="27"/>
      <c r="D28" s="27"/>
      <c r="E28" s="190">
        <f>IF(ISERROR(ROUND(Operation_Expenses[[#This Row],[Current Annual]]/($F$1*12),2)),0,(ROUND(Operation_Expenses[[#This Row],[Current Annual]]/($F$1*12),2)))</f>
        <v>0</v>
      </c>
      <c r="F28" s="14"/>
      <c r="G28" s="190">
        <f>SUM(Operation_Expenses[[#This Row],[Current Monthly]]-Operation_Expenses[[#This Row],[Prior Monthly]])</f>
        <v>0</v>
      </c>
      <c r="H28" s="150"/>
      <c r="I28" s="150"/>
      <c r="J28" s="3"/>
      <c r="K28" s="3"/>
    </row>
    <row r="29" spans="1:11" ht="13" x14ac:dyDescent="0.3">
      <c r="A29" s="103"/>
      <c r="B29" s="192">
        <f>IF(ISERROR(ROUND(Operation_Expenses[[#This Row],[Prior Annual]]/($F$1*12),2)),0,ROUND(Operation_Expenses[[#This Row],[Prior Annual]]/($F$1*12),2))</f>
        <v>0</v>
      </c>
      <c r="C29" s="27"/>
      <c r="D29" s="27"/>
      <c r="E29" s="190">
        <f>IF(ISERROR(ROUND(Operation_Expenses[[#This Row],[Current Annual]]/($F$1*12),2)),0,(ROUND(Operation_Expenses[[#This Row],[Current Annual]]/($F$1*12),2)))</f>
        <v>0</v>
      </c>
      <c r="F29" s="14"/>
      <c r="G29" s="190">
        <f>SUM(Operation_Expenses[[#This Row],[Current Monthly]]-Operation_Expenses[[#This Row],[Prior Monthly]])</f>
        <v>0</v>
      </c>
      <c r="H29" s="150"/>
      <c r="I29" s="150"/>
      <c r="J29" s="3"/>
      <c r="K29" s="3"/>
    </row>
    <row r="30" spans="1:11" ht="13" x14ac:dyDescent="0.3">
      <c r="A30" s="103"/>
      <c r="B30" s="192">
        <f>IF(ISERROR(ROUND(Operation_Expenses[[#This Row],[Prior Annual]]/($F$1*12),2)),0,ROUND(Operation_Expenses[[#This Row],[Prior Annual]]/($F$1*12),2))</f>
        <v>0</v>
      </c>
      <c r="C30" s="27"/>
      <c r="D30" s="27"/>
      <c r="E30" s="190">
        <f>IF(ISERROR(ROUND(Operation_Expenses[[#This Row],[Current Annual]]/($F$1*12),2)),0,(ROUND(Operation_Expenses[[#This Row],[Current Annual]]/($F$1*12),2)))</f>
        <v>0</v>
      </c>
      <c r="F30" s="14"/>
      <c r="G30" s="190">
        <f>SUM(Operation_Expenses[[#This Row],[Current Monthly]]-Operation_Expenses[[#This Row],[Prior Monthly]])</f>
        <v>0</v>
      </c>
      <c r="H30" s="150"/>
      <c r="I30" s="150"/>
      <c r="J30" s="3"/>
      <c r="K30" s="3"/>
    </row>
    <row r="31" spans="1:11" ht="13" x14ac:dyDescent="0.3">
      <c r="A31" s="103"/>
      <c r="B31" s="193">
        <f>IF(ISERROR(ROUND(Operation_Expenses[[#This Row],[Prior Annual]]/($F$1*12),2)),0,ROUND(Operation_Expenses[[#This Row],[Prior Annual]]/($F$1*12),2))</f>
        <v>0</v>
      </c>
      <c r="C31" s="33"/>
      <c r="D31" s="33"/>
      <c r="E31" s="190">
        <f>IF(ISERROR(ROUND(Operation_Expenses[[#This Row],[Current Annual]]/($F$1*12),2)),0,(ROUND(Operation_Expenses[[#This Row],[Current Annual]]/($F$1*12),2)))</f>
        <v>0</v>
      </c>
      <c r="F31" s="14"/>
      <c r="G31" s="191">
        <f>SUM(Operation_Expenses[[#This Row],[Current Monthly]]-Operation_Expenses[[#This Row],[Prior Monthly]])</f>
        <v>0</v>
      </c>
      <c r="H31" s="150"/>
      <c r="I31" s="150"/>
      <c r="J31" s="3"/>
      <c r="K31" s="3"/>
    </row>
    <row r="32" spans="1:11" ht="13" x14ac:dyDescent="0.3">
      <c r="A32" s="103"/>
      <c r="B32" s="193">
        <f>IF(ISERROR(ROUND(Operation_Expenses[[#This Row],[Prior Annual]]/($F$1*12),2)),0,ROUND(Operation_Expenses[[#This Row],[Prior Annual]]/($F$1*12),2))</f>
        <v>0</v>
      </c>
      <c r="C32" s="33"/>
      <c r="D32" s="33"/>
      <c r="E32" s="190">
        <f>IF(ISERROR(ROUND(Operation_Expenses[[#This Row],[Current Annual]]/($F$1*12),2)),0,(ROUND(Operation_Expenses[[#This Row],[Current Annual]]/($F$1*12),2)))</f>
        <v>0</v>
      </c>
      <c r="F32" s="14"/>
      <c r="G32" s="191">
        <f>SUM(Operation_Expenses[[#This Row],[Current Monthly]]-Operation_Expenses[[#This Row],[Prior Monthly]])</f>
        <v>0</v>
      </c>
      <c r="H32" s="150"/>
      <c r="I32" s="150"/>
      <c r="J32" s="3"/>
      <c r="K32" s="3"/>
    </row>
    <row r="33" spans="1:11" ht="13" x14ac:dyDescent="0.3">
      <c r="A33" s="103"/>
      <c r="B33" s="193">
        <f>IF(ISERROR(ROUND(Operation_Expenses[[#This Row],[Prior Annual]]/($F$1*12),2)),0,ROUND(Operation_Expenses[[#This Row],[Prior Annual]]/($F$1*12),2))</f>
        <v>0</v>
      </c>
      <c r="C33" s="33"/>
      <c r="D33" s="33"/>
      <c r="E33" s="190">
        <f>IF(ISERROR(ROUND(Operation_Expenses[[#This Row],[Current Annual]]/($F$1*12),2)),0,(ROUND(Operation_Expenses[[#This Row],[Current Annual]]/($F$1*12),2)))</f>
        <v>0</v>
      </c>
      <c r="F33" s="14"/>
      <c r="G33" s="191">
        <f>SUM(Operation_Expenses[[#This Row],[Current Monthly]]-Operation_Expenses[[#This Row],[Prior Monthly]])</f>
        <v>0</v>
      </c>
      <c r="H33" s="150"/>
      <c r="I33" s="150"/>
      <c r="J33" s="3"/>
      <c r="K33" s="3"/>
    </row>
    <row r="34" spans="1:11" ht="13" x14ac:dyDescent="0.3">
      <c r="A34" s="103"/>
      <c r="B34" s="193">
        <f>IF(ISERROR(ROUND(Operation_Expenses[[#This Row],[Prior Annual]]/($F$1*12),2)),0,ROUND(Operation_Expenses[[#This Row],[Prior Annual]]/($F$1*12),2))</f>
        <v>0</v>
      </c>
      <c r="C34" s="33"/>
      <c r="D34" s="33"/>
      <c r="E34" s="190">
        <f>IF(ISERROR(ROUND(Operation_Expenses[[#This Row],[Current Annual]]/($F$1*12),2)),0,(ROUND(Operation_Expenses[[#This Row],[Current Annual]]/($F$1*12),2)))</f>
        <v>0</v>
      </c>
      <c r="F34" s="14"/>
      <c r="G34" s="191">
        <f>SUM(Operation_Expenses[[#This Row],[Current Monthly]]-Operation_Expenses[[#This Row],[Prior Monthly]])</f>
        <v>0</v>
      </c>
      <c r="H34" s="150"/>
      <c r="I34" s="150"/>
      <c r="J34" s="3"/>
      <c r="K34" s="3"/>
    </row>
    <row r="35" spans="1:11" ht="13" x14ac:dyDescent="0.3">
      <c r="A35" s="103"/>
      <c r="B35" s="193">
        <f>IF(ISERROR(ROUND(Operation_Expenses[[#This Row],[Prior Annual]]/($F$1*12),2)),0,ROUND(Operation_Expenses[[#This Row],[Prior Annual]]/($F$1*12),2))</f>
        <v>0</v>
      </c>
      <c r="C35" s="33"/>
      <c r="D35" s="33"/>
      <c r="E35" s="190">
        <f>IF(ISERROR(ROUND(Operation_Expenses[[#This Row],[Current Annual]]/($F$1*12),2)),0,(ROUND(Operation_Expenses[[#This Row],[Current Annual]]/($F$1*12),2)))</f>
        <v>0</v>
      </c>
      <c r="F35" s="14"/>
      <c r="G35" s="191">
        <f>SUM(Operation_Expenses[[#This Row],[Current Monthly]]-Operation_Expenses[[#This Row],[Prior Monthly]])</f>
        <v>0</v>
      </c>
      <c r="H35" s="150"/>
      <c r="I35" s="150"/>
      <c r="J35" s="3"/>
      <c r="K35" s="3"/>
    </row>
    <row r="36" spans="1:11" ht="13" x14ac:dyDescent="0.3">
      <c r="A36" s="103"/>
      <c r="B36" s="193">
        <f>IF(ISERROR(ROUND(Operation_Expenses[[#This Row],[Prior Annual]]/($F$1*12),2)),0,ROUND(Operation_Expenses[[#This Row],[Prior Annual]]/($F$1*12),2))</f>
        <v>0</v>
      </c>
      <c r="C36" s="33"/>
      <c r="D36" s="33"/>
      <c r="E36" s="190">
        <f>IF(ISERROR(ROUND(Operation_Expenses[[#This Row],[Current Annual]]/($F$1*12),2)),0,(ROUND(Operation_Expenses[[#This Row],[Current Annual]]/($F$1*12),2)))</f>
        <v>0</v>
      </c>
      <c r="F36" s="14"/>
      <c r="G36" s="191">
        <f>SUM(Operation_Expenses[[#This Row],[Current Monthly]]-Operation_Expenses[[#This Row],[Prior Monthly]])</f>
        <v>0</v>
      </c>
      <c r="H36" s="150"/>
      <c r="I36" s="150"/>
      <c r="J36" s="3"/>
      <c r="K36" s="3"/>
    </row>
    <row r="37" spans="1:11" ht="13" x14ac:dyDescent="0.3">
      <c r="A37" s="103"/>
      <c r="B37" s="193">
        <f>IF(ISERROR(ROUND(Operation_Expenses[[#This Row],[Prior Annual]]/($F$1*12),2)),0,ROUND(Operation_Expenses[[#This Row],[Prior Annual]]/($F$1*12),2))</f>
        <v>0</v>
      </c>
      <c r="C37" s="33"/>
      <c r="D37" s="33"/>
      <c r="E37" s="190">
        <f>IF(ISERROR(ROUND(Operation_Expenses[[#This Row],[Current Annual]]/($F$1*12),2)),0,(ROUND(Operation_Expenses[[#This Row],[Current Annual]]/($F$1*12),2)))</f>
        <v>0</v>
      </c>
      <c r="F37" s="14"/>
      <c r="G37" s="191">
        <f>SUM(Operation_Expenses[[#This Row],[Current Monthly]]-Operation_Expenses[[#This Row],[Prior Monthly]])</f>
        <v>0</v>
      </c>
      <c r="H37" s="150"/>
      <c r="I37" s="150"/>
      <c r="J37" s="3"/>
      <c r="K37" s="3"/>
    </row>
    <row r="38" spans="1:11" ht="13" x14ac:dyDescent="0.3">
      <c r="A38" s="103"/>
      <c r="B38" s="193">
        <f>IF(ISERROR(ROUND(Operation_Expenses[[#This Row],[Prior Annual]]/($F$1*12),2)),0,ROUND(Operation_Expenses[[#This Row],[Prior Annual]]/($F$1*12),2))</f>
        <v>0</v>
      </c>
      <c r="C38" s="33"/>
      <c r="D38" s="33"/>
      <c r="E38" s="190">
        <f>IF(ISERROR(ROUND(Operation_Expenses[[#This Row],[Current Annual]]/($F$1*12),2)),0,(ROUND(Operation_Expenses[[#This Row],[Current Annual]]/($F$1*12),2)))</f>
        <v>0</v>
      </c>
      <c r="F38" s="14"/>
      <c r="G38" s="191">
        <f>SUM(Operation_Expenses[[#This Row],[Current Monthly]]-Operation_Expenses[[#This Row],[Prior Monthly]])</f>
        <v>0</v>
      </c>
      <c r="H38" s="150"/>
      <c r="I38" s="150"/>
      <c r="J38" s="3"/>
      <c r="K38" s="3"/>
    </row>
    <row r="39" spans="1:11" s="2" customFormat="1" ht="13" x14ac:dyDescent="0.3">
      <c r="A39" s="31" t="s">
        <v>30</v>
      </c>
      <c r="B39" s="194">
        <f>SUBTOTAL(109,Operation_Expenses[Prior Monthly])</f>
        <v>0</v>
      </c>
      <c r="C39" s="34">
        <f>SUBTOTAL(109,Operation_Expenses[Prior Annual])</f>
        <v>0</v>
      </c>
      <c r="D39" s="34">
        <f>SUBTOTAL(109,Operation_Expenses[Prior Actual])</f>
        <v>0</v>
      </c>
      <c r="E39" s="195">
        <f>SUBTOTAL(109,Operation_Expenses[Current Monthly])</f>
        <v>0</v>
      </c>
      <c r="F39" s="36">
        <f>SUBTOTAL(109,Operation_Expenses[Current Annual])</f>
        <v>0</v>
      </c>
      <c r="G39" s="196">
        <f>SUBTOTAL(109,Operation_Expenses[Monthly Change])</f>
        <v>0</v>
      </c>
      <c r="H39" s="242"/>
      <c r="I39" s="242"/>
    </row>
    <row r="40" spans="1:11" ht="13" x14ac:dyDescent="0.3">
      <c r="A40" s="8"/>
      <c r="B40" s="29"/>
      <c r="C40" s="29"/>
      <c r="D40" s="29"/>
      <c r="E40" s="11"/>
      <c r="F40" s="11"/>
      <c r="G40" s="11"/>
      <c r="H40" s="150"/>
      <c r="I40" s="150"/>
      <c r="J40" s="3"/>
      <c r="K40" s="3"/>
    </row>
    <row r="41" spans="1:11" ht="13" x14ac:dyDescent="0.3">
      <c r="A41" s="229" t="s">
        <v>79</v>
      </c>
      <c r="B41" s="223" t="s">
        <v>47</v>
      </c>
      <c r="C41" s="236" t="s">
        <v>48</v>
      </c>
      <c r="D41" s="236" t="s">
        <v>48</v>
      </c>
      <c r="E41" s="223" t="s">
        <v>47</v>
      </c>
      <c r="F41" s="236" t="s">
        <v>48</v>
      </c>
      <c r="G41" s="223" t="s">
        <v>47</v>
      </c>
      <c r="H41" s="150"/>
      <c r="I41" s="150"/>
      <c r="J41" s="3"/>
      <c r="K41" s="3"/>
    </row>
    <row r="42" spans="1:11" ht="13" x14ac:dyDescent="0.3">
      <c r="A42" s="222" t="s">
        <v>26</v>
      </c>
      <c r="B42" s="237" t="s">
        <v>18</v>
      </c>
      <c r="C42" s="237" t="s">
        <v>19</v>
      </c>
      <c r="D42" s="237" t="s">
        <v>20</v>
      </c>
      <c r="E42" s="238" t="s">
        <v>21</v>
      </c>
      <c r="F42" s="238" t="s">
        <v>22</v>
      </c>
      <c r="G42" s="238" t="s">
        <v>27</v>
      </c>
      <c r="H42" s="150"/>
      <c r="I42" s="150"/>
      <c r="J42" s="3"/>
      <c r="K42" s="3"/>
    </row>
    <row r="43" spans="1:11" ht="13" x14ac:dyDescent="0.3">
      <c r="A43" s="80" t="s">
        <v>61</v>
      </c>
      <c r="B43" s="197">
        <f>IF(ISERROR(ROUND(Reserve_Expenses[[#This Row],[Prior Annual]]/($F$1*12),2)),0,(ROUND(Reserve_Expenses[[#This Row],[Prior Annual]]/($F$1*12),2)))</f>
        <v>0</v>
      </c>
      <c r="C43" s="216"/>
      <c r="D43" s="216"/>
      <c r="E43" s="190">
        <f>IF(ISERROR(ROUND(Reserve_Expenses[[#This Row],[Current Annual]]/($F$1*12),2)),0,(ROUND(Reserve_Expenses[[#This Row],[Current Annual]]/($F$1*12),2)))</f>
        <v>0</v>
      </c>
      <c r="F43" s="108">
        <v>0</v>
      </c>
      <c r="G43" s="190">
        <f>SUM(Reserve_Expenses[[#This Row],[Current Monthly]]-Reserve_Expenses[[#This Row],[Prior Monthly]])</f>
        <v>0</v>
      </c>
      <c r="H43" s="150"/>
      <c r="I43" s="150"/>
      <c r="J43" s="3"/>
      <c r="K43" s="3"/>
    </row>
    <row r="44" spans="1:11" ht="13" x14ac:dyDescent="0.3">
      <c r="A44" s="315">
        <f>'RESERVE ANALYSIS'!A8</f>
        <v>0</v>
      </c>
      <c r="B44" s="197">
        <f>IF(ISERROR(ROUND(Reserve_Expenses[[#This Row],[Prior Annual]]/($F$1*12),2)),0,(ROUND(Reserve_Expenses[[#This Row],[Prior Annual]]/($F$1*12),2)))</f>
        <v>0</v>
      </c>
      <c r="C44" s="216"/>
      <c r="D44" s="217"/>
      <c r="E44" s="190">
        <f>IF(ISERROR(ROUND(Reserve_Expenses[[#This Row],[Current Annual]]/($F$1*12),2)),0,(ROUND(Reserve_Expenses[[#This Row],[Current Annual]]/($F$1*12),2)))</f>
        <v>0</v>
      </c>
      <c r="F44" s="108"/>
      <c r="G44" s="190">
        <f>SUM(Reserve_Expenses[[#This Row],[Current Monthly]]-Reserve_Expenses[[#This Row],[Prior Monthly]])</f>
        <v>0</v>
      </c>
      <c r="H44" s="150"/>
      <c r="I44" s="150"/>
      <c r="J44" s="3"/>
      <c r="K44" s="3"/>
    </row>
    <row r="45" spans="1:11" ht="13" x14ac:dyDescent="0.3">
      <c r="A45" s="315">
        <f>'RESERVE ANALYSIS'!A9</f>
        <v>0</v>
      </c>
      <c r="B45" s="197">
        <f>IF(ISERROR(ROUND(Reserve_Expenses[[#This Row],[Prior Annual]]/($F$1*12),2)),0,(ROUND(Reserve_Expenses[[#This Row],[Prior Annual]]/($F$1*12),2)))</f>
        <v>0</v>
      </c>
      <c r="C45" s="216"/>
      <c r="D45" s="218"/>
      <c r="E45" s="190">
        <f>IF(ISERROR(ROUND(Reserve_Expenses[[#This Row],[Current Annual]]/($F$1*12),2)),0,(ROUND(Reserve_Expenses[[#This Row],[Current Annual]]/($F$1*12),2)))</f>
        <v>0</v>
      </c>
      <c r="F45" s="108"/>
      <c r="G45" s="190">
        <f>SUM(Reserve_Expenses[[#This Row],[Current Monthly]]-Reserve_Expenses[[#This Row],[Prior Monthly]])</f>
        <v>0</v>
      </c>
      <c r="H45" s="150"/>
      <c r="I45" s="150"/>
      <c r="J45" s="3"/>
      <c r="K45" s="3"/>
    </row>
    <row r="46" spans="1:11" ht="13" x14ac:dyDescent="0.3">
      <c r="A46" s="315">
        <f>'RESERVE ANALYSIS'!A10</f>
        <v>0</v>
      </c>
      <c r="B46" s="197">
        <f>IF(ISERROR(ROUND(Reserve_Expenses[[#This Row],[Prior Annual]]/($F$1*12),2)),0,(ROUND(Reserve_Expenses[[#This Row],[Prior Annual]]/($F$1*12),2)))</f>
        <v>0</v>
      </c>
      <c r="C46" s="216"/>
      <c r="D46" s="218"/>
      <c r="E46" s="190">
        <f>IF(ISERROR(ROUND(Reserve_Expenses[[#This Row],[Current Annual]]/($F$1*12),2)),0,(ROUND(Reserve_Expenses[[#This Row],[Current Annual]]/($F$1*12),2)))</f>
        <v>0</v>
      </c>
      <c r="F46" s="108"/>
      <c r="G46" s="190">
        <f>SUM(Reserve_Expenses[[#This Row],[Current Monthly]]-Reserve_Expenses[[#This Row],[Prior Monthly]])</f>
        <v>0</v>
      </c>
      <c r="H46" s="150"/>
      <c r="I46" s="243" t="s">
        <v>60</v>
      </c>
      <c r="J46" s="3"/>
      <c r="K46" s="3"/>
    </row>
    <row r="47" spans="1:11" ht="13" x14ac:dyDescent="0.3">
      <c r="A47" s="315">
        <f>'RESERVE ANALYSIS'!A11</f>
        <v>0</v>
      </c>
      <c r="B47" s="197">
        <f>IF(ISERROR(ROUND(Reserve_Expenses[[#This Row],[Prior Annual]]/($F$1*12),2)),0,(ROUND(Reserve_Expenses[[#This Row],[Prior Annual]]/($F$1*12),2)))</f>
        <v>0</v>
      </c>
      <c r="C47" s="216"/>
      <c r="D47" s="218"/>
      <c r="E47" s="190">
        <f>IF(ISERROR(ROUND(Reserve_Expenses[[#This Row],[Current Annual]]/($F$1*12),2)),0,(ROUND(Reserve_Expenses[[#This Row],[Current Annual]]/($F$1*12),2)))</f>
        <v>0</v>
      </c>
      <c r="F47" s="108"/>
      <c r="G47" s="190">
        <f>SUM(Reserve_Expenses[[#This Row],[Current Monthly]]-Reserve_Expenses[[#This Row],[Prior Monthly]])</f>
        <v>0</v>
      </c>
      <c r="H47" s="150"/>
      <c r="I47" s="244"/>
      <c r="J47" s="3"/>
      <c r="K47" s="3"/>
    </row>
    <row r="48" spans="1:11" ht="13" x14ac:dyDescent="0.3">
      <c r="A48" s="315">
        <f>'RESERVE ANALYSIS'!A12</f>
        <v>0</v>
      </c>
      <c r="B48" s="197">
        <f>IF(ISERROR(ROUND(Reserve_Expenses[[#This Row],[Prior Annual]]/($F$1*12),2)),0,(ROUND(Reserve_Expenses[[#This Row],[Prior Annual]]/($F$1*12),2)))</f>
        <v>0</v>
      </c>
      <c r="C48" s="216"/>
      <c r="D48" s="218"/>
      <c r="E48" s="190">
        <f>IF(ISERROR(ROUND(Reserve_Expenses[[#This Row],[Current Annual]]/($F$1*12),2)),0,(ROUND(Reserve_Expenses[[#This Row],[Current Annual]]/($F$1*12),2)))</f>
        <v>0</v>
      </c>
      <c r="F48" s="108"/>
      <c r="G48" s="190">
        <f>SUM(Reserve_Expenses[[#This Row],[Current Monthly]]-Reserve_Expenses[[#This Row],[Prior Monthly]])</f>
        <v>0</v>
      </c>
      <c r="H48" s="150"/>
      <c r="I48" s="150"/>
      <c r="J48" s="3"/>
      <c r="K48" s="3"/>
    </row>
    <row r="49" spans="1:11" ht="13" x14ac:dyDescent="0.3">
      <c r="A49" s="315">
        <f>'RESERVE ANALYSIS'!A13</f>
        <v>0</v>
      </c>
      <c r="B49" s="197">
        <f>IF(ISERROR(ROUND(Reserve_Expenses[[#This Row],[Prior Annual]]/($F$1*12),2)),0,(ROUND(Reserve_Expenses[[#This Row],[Prior Annual]]/($F$1*12),2)))</f>
        <v>0</v>
      </c>
      <c r="C49" s="216"/>
      <c r="D49" s="217"/>
      <c r="E49" s="190">
        <f>IF(ISERROR(ROUND(Reserve_Expenses[[#This Row],[Current Annual]]/($F$1*12),2)),0,(ROUND(Reserve_Expenses[[#This Row],[Current Annual]]/($F$1*12),2)))</f>
        <v>0</v>
      </c>
      <c r="F49" s="108"/>
      <c r="G49" s="190">
        <f>SUM(Reserve_Expenses[[#This Row],[Current Monthly]]-Reserve_Expenses[[#This Row],[Prior Monthly]])</f>
        <v>0</v>
      </c>
      <c r="H49" s="150"/>
      <c r="I49" s="150"/>
      <c r="J49" s="3"/>
      <c r="K49" s="3"/>
    </row>
    <row r="50" spans="1:11" ht="13" x14ac:dyDescent="0.3">
      <c r="A50" s="315">
        <f>'RESERVE ANALYSIS'!A14</f>
        <v>0</v>
      </c>
      <c r="B50" s="197">
        <f>IF(ISERROR(ROUND(Reserve_Expenses[[#This Row],[Prior Annual]]/($F$1*12),2)),0,(ROUND(Reserve_Expenses[[#This Row],[Prior Annual]]/($F$1*12),2)))</f>
        <v>0</v>
      </c>
      <c r="C50" s="216"/>
      <c r="D50" s="217"/>
      <c r="E50" s="190">
        <f>IF(ISERROR(ROUND(Reserve_Expenses[[#This Row],[Current Annual]]/($F$1*12),2)),0,(ROUND(Reserve_Expenses[[#This Row],[Current Annual]]/($F$1*12),2)))</f>
        <v>0</v>
      </c>
      <c r="F50" s="108"/>
      <c r="G50" s="190">
        <f>SUM(Reserve_Expenses[[#This Row],[Current Monthly]]-Reserve_Expenses[[#This Row],[Prior Monthly]])</f>
        <v>0</v>
      </c>
      <c r="H50" s="150"/>
      <c r="I50" s="150"/>
      <c r="J50" s="3"/>
      <c r="K50" s="3"/>
    </row>
    <row r="51" spans="1:11" ht="13" x14ac:dyDescent="0.3">
      <c r="A51" s="315">
        <f>'RESERVE ANALYSIS'!A15</f>
        <v>0</v>
      </c>
      <c r="B51" s="197">
        <f>IF(ISERROR(ROUND(Reserve_Expenses[[#This Row],[Prior Annual]]/($F$1*12),2)),0,(ROUND(Reserve_Expenses[[#This Row],[Prior Annual]]/($F$1*12),2)))</f>
        <v>0</v>
      </c>
      <c r="C51" s="216"/>
      <c r="D51" s="217"/>
      <c r="E51" s="190">
        <f>IF(ISERROR(ROUND(Reserve_Expenses[[#This Row],[Current Annual]]/($F$1*12),2)),0,(ROUND(Reserve_Expenses[[#This Row],[Current Annual]]/($F$1*12),2)))</f>
        <v>0</v>
      </c>
      <c r="F51" s="108"/>
      <c r="G51" s="190">
        <f>SUM(Reserve_Expenses[[#This Row],[Current Monthly]]-Reserve_Expenses[[#This Row],[Prior Monthly]])</f>
        <v>0</v>
      </c>
      <c r="H51" s="150"/>
      <c r="I51" s="150"/>
      <c r="J51" s="3"/>
      <c r="K51" s="3"/>
    </row>
    <row r="52" spans="1:11" ht="13" x14ac:dyDescent="0.3">
      <c r="A52" s="315">
        <f>'RESERVE ANALYSIS'!A16</f>
        <v>0</v>
      </c>
      <c r="B52" s="197">
        <f>IF(ISERROR(ROUND(Reserve_Expenses[[#This Row],[Prior Annual]]/($F$1*12),2)),0,(ROUND(Reserve_Expenses[[#This Row],[Prior Annual]]/($F$1*12),2)))</f>
        <v>0</v>
      </c>
      <c r="C52" s="216"/>
      <c r="D52" s="217"/>
      <c r="E52" s="190">
        <f>IF(ISERROR(ROUND(Reserve_Expenses[[#This Row],[Current Annual]]/($F$1*12),2)),0,(ROUND(Reserve_Expenses[[#This Row],[Current Annual]]/($F$1*12),2)))</f>
        <v>0</v>
      </c>
      <c r="F52" s="108"/>
      <c r="G52" s="190">
        <f>SUM(Reserve_Expenses[[#This Row],[Current Monthly]]-Reserve_Expenses[[#This Row],[Prior Monthly]])</f>
        <v>0</v>
      </c>
      <c r="H52" s="150"/>
      <c r="I52" s="150"/>
      <c r="J52" s="3"/>
      <c r="K52" s="3"/>
    </row>
    <row r="53" spans="1:11" ht="13" x14ac:dyDescent="0.3">
      <c r="A53" s="315">
        <f>'RESERVE ANALYSIS'!A17</f>
        <v>0</v>
      </c>
      <c r="B53" s="197">
        <f>IF(ISERROR(ROUND(Reserve_Expenses[[#This Row],[Prior Annual]]/($F$1*12),2)),0,(ROUND(Reserve_Expenses[[#This Row],[Prior Annual]]/($F$1*12),2)))</f>
        <v>0</v>
      </c>
      <c r="C53" s="216"/>
      <c r="D53" s="217"/>
      <c r="E53" s="190">
        <f>IF(ISERROR(ROUND(Reserve_Expenses[[#This Row],[Current Annual]]/($F$1*12),2)),0,(ROUND(Reserve_Expenses[[#This Row],[Current Annual]]/($F$1*12),2)))</f>
        <v>0</v>
      </c>
      <c r="F53" s="108"/>
      <c r="G53" s="190">
        <f>SUM(Reserve_Expenses[[#This Row],[Current Monthly]]-Reserve_Expenses[[#This Row],[Prior Monthly]])</f>
        <v>0</v>
      </c>
      <c r="H53" s="150"/>
      <c r="I53" s="150"/>
      <c r="J53" s="3"/>
      <c r="K53" s="3"/>
    </row>
    <row r="54" spans="1:11" ht="13" x14ac:dyDescent="0.3">
      <c r="A54" s="315">
        <f>'RESERVE ANALYSIS'!A18</f>
        <v>0</v>
      </c>
      <c r="B54" s="197">
        <f>IF(ISERROR(ROUND(Reserve_Expenses[[#This Row],[Prior Annual]]/($F$1*12),2)),0,(ROUND(Reserve_Expenses[[#This Row],[Prior Annual]]/($F$1*12),2)))</f>
        <v>0</v>
      </c>
      <c r="C54" s="216"/>
      <c r="D54" s="217"/>
      <c r="E54" s="190">
        <f>IF(ISERROR(ROUND(Reserve_Expenses[[#This Row],[Current Annual]]/($F$1*12),2)),0,(ROUND(Reserve_Expenses[[#This Row],[Current Annual]]/($F$1*12),2)))</f>
        <v>0</v>
      </c>
      <c r="F54" s="108"/>
      <c r="G54" s="190">
        <f>SUM(Reserve_Expenses[[#This Row],[Current Monthly]]-Reserve_Expenses[[#This Row],[Prior Monthly]])</f>
        <v>0</v>
      </c>
      <c r="H54" s="150"/>
      <c r="I54" s="150"/>
      <c r="J54" s="3"/>
      <c r="K54" s="3"/>
    </row>
    <row r="55" spans="1:11" ht="13" x14ac:dyDescent="0.3">
      <c r="A55" s="315">
        <f>'RESERVE ANALYSIS'!A19</f>
        <v>0</v>
      </c>
      <c r="B55" s="197">
        <f>IF(ISERROR(ROUND(Reserve_Expenses[[#This Row],[Prior Annual]]/($F$1*12),2)),0,(ROUND(Reserve_Expenses[[#This Row],[Prior Annual]]/($F$1*12),2)))</f>
        <v>0</v>
      </c>
      <c r="C55" s="216"/>
      <c r="D55" s="217"/>
      <c r="E55" s="190">
        <f>IF(ISERROR(ROUND(Reserve_Expenses[[#This Row],[Current Annual]]/($F$1*12),2)),0,(ROUND(Reserve_Expenses[[#This Row],[Current Annual]]/($F$1*12),2)))</f>
        <v>0</v>
      </c>
      <c r="F55" s="108"/>
      <c r="G55" s="190">
        <f>SUM(Reserve_Expenses[[#This Row],[Current Monthly]]-Reserve_Expenses[[#This Row],[Prior Monthly]])</f>
        <v>0</v>
      </c>
      <c r="H55" s="150"/>
      <c r="I55" s="150"/>
      <c r="J55" s="3"/>
      <c r="K55" s="3"/>
    </row>
    <row r="56" spans="1:11" ht="13" x14ac:dyDescent="0.3">
      <c r="A56" s="315">
        <f>'RESERVE ANALYSIS'!A20</f>
        <v>0</v>
      </c>
      <c r="B56" s="197">
        <f>IF(ISERROR(ROUND(Reserve_Expenses[[#This Row],[Prior Annual]]/($F$1*12),2)),0,(ROUND(Reserve_Expenses[[#This Row],[Prior Annual]]/($F$1*12),2)))</f>
        <v>0</v>
      </c>
      <c r="C56" s="216"/>
      <c r="D56" s="217"/>
      <c r="E56" s="190">
        <f>IF(ISERROR(ROUND(Reserve_Expenses[[#This Row],[Current Annual]]/($F$1*12),2)),0,(ROUND(Reserve_Expenses[[#This Row],[Current Annual]]/($F$1*12),2)))</f>
        <v>0</v>
      </c>
      <c r="F56" s="108"/>
      <c r="G56" s="190">
        <f>SUM(Reserve_Expenses[[#This Row],[Current Monthly]]-Reserve_Expenses[[#This Row],[Prior Monthly]])</f>
        <v>0</v>
      </c>
      <c r="H56" s="150"/>
      <c r="I56" s="150"/>
      <c r="J56" s="3"/>
      <c r="K56" s="3"/>
    </row>
    <row r="57" spans="1:11" ht="13" x14ac:dyDescent="0.3">
      <c r="A57" s="315">
        <f>'RESERVE ANALYSIS'!A21</f>
        <v>0</v>
      </c>
      <c r="B57" s="197">
        <f>IF(ISERROR(ROUND(Reserve_Expenses[[#This Row],[Prior Annual]]/($F$1*12),2)),0,(ROUND(Reserve_Expenses[[#This Row],[Prior Annual]]/($F$1*12),2)))</f>
        <v>0</v>
      </c>
      <c r="C57" s="216"/>
      <c r="D57" s="217"/>
      <c r="E57" s="191">
        <f>IF(ISERROR(ROUND(Reserve_Expenses[[#This Row],[Current Annual]]/($F$1*12),2)),0,(ROUND(Reserve_Expenses[[#This Row],[Current Annual]]/($F$1*12),2)))</f>
        <v>0</v>
      </c>
      <c r="F57" s="230"/>
      <c r="G57" s="189">
        <f>SUM(Reserve_Expenses[[#This Row],[Current Monthly]]-Reserve_Expenses[[#This Row],[Prior Monthly]])</f>
        <v>0</v>
      </c>
      <c r="H57" s="150"/>
      <c r="I57" s="150"/>
      <c r="J57" s="3"/>
      <c r="K57" s="3"/>
    </row>
    <row r="58" spans="1:11" ht="13" x14ac:dyDescent="0.3">
      <c r="A58" s="315">
        <f>'RESERVE ANALYSIS'!A22</f>
        <v>0</v>
      </c>
      <c r="B58" s="197">
        <f>IF(ISERROR(ROUND(Reserve_Expenses[[#This Row],[Prior Annual]]/($F$1*12),2)),0,(ROUND(Reserve_Expenses[[#This Row],[Prior Annual]]/($F$1*12),2)))</f>
        <v>0</v>
      </c>
      <c r="C58" s="216"/>
      <c r="D58" s="217"/>
      <c r="E58" s="191">
        <f>IF(ISERROR(ROUND(Reserve_Expenses[[#This Row],[Current Annual]]/($F$1*12),2)),0,(ROUND(Reserve_Expenses[[#This Row],[Current Annual]]/($F$1*12),2)))</f>
        <v>0</v>
      </c>
      <c r="F58" s="230"/>
      <c r="G58" s="189">
        <f>SUM(Reserve_Expenses[[#This Row],[Current Monthly]]-Reserve_Expenses[[#This Row],[Prior Monthly]])</f>
        <v>0</v>
      </c>
      <c r="H58" s="150"/>
      <c r="I58" s="150"/>
      <c r="J58" s="3"/>
      <c r="K58" s="3"/>
    </row>
    <row r="59" spans="1:11" ht="13" x14ac:dyDescent="0.3">
      <c r="A59" s="315">
        <f>'RESERVE ANALYSIS'!A23</f>
        <v>0</v>
      </c>
      <c r="B59" s="197">
        <f>IF(ISERROR(ROUND(Reserve_Expenses[[#This Row],[Prior Annual]]/($F$1*12),2)),0,(ROUND(Reserve_Expenses[[#This Row],[Prior Annual]]/($F$1*12),2)))</f>
        <v>0</v>
      </c>
      <c r="C59" s="216"/>
      <c r="D59" s="217"/>
      <c r="E59" s="191">
        <f>IF(ISERROR(ROUND(Reserve_Expenses[[#This Row],[Current Annual]]/($F$1*12),2)),0,(ROUND(Reserve_Expenses[[#This Row],[Current Annual]]/($F$1*12),2)))</f>
        <v>0</v>
      </c>
      <c r="F59" s="230"/>
      <c r="G59" s="189">
        <f>SUM(Reserve_Expenses[[#This Row],[Current Monthly]]-Reserve_Expenses[[#This Row],[Prior Monthly]])</f>
        <v>0</v>
      </c>
      <c r="H59" s="150"/>
      <c r="I59" s="150"/>
      <c r="J59" s="3"/>
      <c r="K59" s="3"/>
    </row>
    <row r="60" spans="1:11" ht="13" x14ac:dyDescent="0.3">
      <c r="A60" s="315">
        <f>'RESERVE ANALYSIS'!A24</f>
        <v>0</v>
      </c>
      <c r="B60" s="197">
        <f>IF(ISERROR(ROUND(Reserve_Expenses[[#This Row],[Prior Annual]]/($F$1*12),2)),0,(ROUND(Reserve_Expenses[[#This Row],[Prior Annual]]/($F$1*12),2)))</f>
        <v>0</v>
      </c>
      <c r="C60" s="216"/>
      <c r="D60" s="217"/>
      <c r="E60" s="191">
        <f>IF(ISERROR(ROUND(Reserve_Expenses[[#This Row],[Current Annual]]/($F$1*12),2)),0,(ROUND(Reserve_Expenses[[#This Row],[Current Annual]]/($F$1*12),2)))</f>
        <v>0</v>
      </c>
      <c r="F60" s="230"/>
      <c r="G60" s="189">
        <f>SUM(Reserve_Expenses[[#This Row],[Current Monthly]]-Reserve_Expenses[[#This Row],[Prior Monthly]])</f>
        <v>0</v>
      </c>
      <c r="H60" s="150"/>
      <c r="I60" s="150"/>
      <c r="J60" s="3"/>
      <c r="K60" s="3"/>
    </row>
    <row r="61" spans="1:11" ht="13" x14ac:dyDescent="0.3">
      <c r="A61" s="315">
        <f>'RESERVE ANALYSIS'!A25</f>
        <v>0</v>
      </c>
      <c r="B61" s="197">
        <f>IF(ISERROR(ROUND(Reserve_Expenses[[#This Row],[Prior Annual]]/($F$1*12),2)),0,(ROUND(Reserve_Expenses[[#This Row],[Prior Annual]]/($F$1*12),2)))</f>
        <v>0</v>
      </c>
      <c r="C61" s="216"/>
      <c r="D61" s="217"/>
      <c r="E61" s="191">
        <f>IF(ISERROR(ROUND(Reserve_Expenses[[#This Row],[Current Annual]]/($F$1*12),2)),0,(ROUND(Reserve_Expenses[[#This Row],[Current Annual]]/($F$1*12),2)))</f>
        <v>0</v>
      </c>
      <c r="F61" s="230"/>
      <c r="G61" s="189">
        <f>SUM(Reserve_Expenses[[#This Row],[Current Monthly]]-Reserve_Expenses[[#This Row],[Prior Monthly]])</f>
        <v>0</v>
      </c>
      <c r="H61" s="150"/>
      <c r="I61" s="150"/>
      <c r="J61" s="3"/>
      <c r="K61" s="3"/>
    </row>
    <row r="62" spans="1:11" ht="13" x14ac:dyDescent="0.3">
      <c r="A62" s="315">
        <f>'RESERVE ANALYSIS'!A26</f>
        <v>0</v>
      </c>
      <c r="B62" s="197">
        <f>IF(ISERROR(ROUND(Reserve_Expenses[[#This Row],[Prior Annual]]/($F$1*12),2)),0,(ROUND(Reserve_Expenses[[#This Row],[Prior Annual]]/($F$1*12),2)))</f>
        <v>0</v>
      </c>
      <c r="C62" s="216"/>
      <c r="D62" s="217"/>
      <c r="E62" s="191">
        <f>IF(ISERROR(ROUND(Reserve_Expenses[[#This Row],[Current Annual]]/($F$1*12),2)),0,(ROUND(Reserve_Expenses[[#This Row],[Current Annual]]/($F$1*12),2)))</f>
        <v>0</v>
      </c>
      <c r="F62" s="230"/>
      <c r="G62" s="189">
        <f>SUM(Reserve_Expenses[[#This Row],[Current Monthly]]-Reserve_Expenses[[#This Row],[Prior Monthly]])</f>
        <v>0</v>
      </c>
      <c r="H62" s="150"/>
      <c r="I62" s="150"/>
      <c r="J62" s="3"/>
      <c r="K62" s="3"/>
    </row>
    <row r="63" spans="1:11" ht="13" x14ac:dyDescent="0.3">
      <c r="A63" s="315">
        <f>'RESERVE ANALYSIS'!A27</f>
        <v>0</v>
      </c>
      <c r="B63" s="197">
        <f>IF(ISERROR(ROUND(Reserve_Expenses[[#This Row],[Prior Annual]]/($F$1*12),2)),0,(ROUND(Reserve_Expenses[[#This Row],[Prior Annual]]/($F$1*12),2)))</f>
        <v>0</v>
      </c>
      <c r="C63" s="216"/>
      <c r="D63" s="217"/>
      <c r="E63" s="190">
        <f>IF(ISERROR(ROUND(Reserve_Expenses[[#This Row],[Current Annual]]/($F$1*12),2)),0,(ROUND(Reserve_Expenses[[#This Row],[Current Annual]]/($F$1*12),2)))</f>
        <v>0</v>
      </c>
      <c r="F63" s="108"/>
      <c r="G63" s="190">
        <f>SUM(Reserve_Expenses[[#This Row],[Current Monthly]]-Reserve_Expenses[[#This Row],[Prior Monthly]])</f>
        <v>0</v>
      </c>
      <c r="H63" s="150"/>
      <c r="I63" s="150"/>
      <c r="J63" s="3"/>
      <c r="K63" s="3"/>
    </row>
    <row r="64" spans="1:11" ht="13" x14ac:dyDescent="0.3">
      <c r="A64" s="246" t="s">
        <v>5</v>
      </c>
      <c r="B64" s="322">
        <f>SUBTOTAL(109,Reserve_Expenses[Prior Monthly])</f>
        <v>0</v>
      </c>
      <c r="C64" s="323">
        <f>SUBTOTAL(109,Reserve_Expenses[Prior Annual])</f>
        <v>0</v>
      </c>
      <c r="D64" s="323">
        <f>SUBTOTAL(109,Reserve_Expenses[Prior Actual])</f>
        <v>0</v>
      </c>
      <c r="E64" s="324">
        <f>SUBTOTAL(109,Reserve_Expenses[Current Monthly])</f>
        <v>0</v>
      </c>
      <c r="F64" s="141">
        <f>SUBTOTAL(109,Reserve_Expenses[Current Annual])</f>
        <v>0</v>
      </c>
      <c r="G64" s="324">
        <f>SUBTOTAL(109,Reserve_Expenses[Monthly Change])</f>
        <v>0</v>
      </c>
      <c r="H64" s="150"/>
      <c r="I64" s="150"/>
    </row>
    <row r="65" spans="1:11" s="9" customFormat="1" ht="13" x14ac:dyDescent="0.3">
      <c r="A65" s="247"/>
      <c r="B65" s="325"/>
      <c r="C65" s="326"/>
      <c r="D65" s="326"/>
      <c r="E65" s="327"/>
      <c r="F65" s="326"/>
      <c r="G65" s="327"/>
      <c r="H65" s="162"/>
      <c r="I65" s="162"/>
    </row>
    <row r="66" spans="1:11" s="9" customFormat="1" ht="13" x14ac:dyDescent="0.3">
      <c r="A66" s="248" t="s">
        <v>2</v>
      </c>
      <c r="B66" s="199">
        <f>Operation_Expenses[[#Totals],[Prior Monthly]]+Reserve_Expenses[[#Totals],[Prior Monthly]]</f>
        <v>0</v>
      </c>
      <c r="C66" s="85">
        <f>Operation_Expenses[[#Totals],[Prior Annual]]+Reserve_Expenses[[#Totals],[Prior Annual]]</f>
        <v>0</v>
      </c>
      <c r="D66" s="85">
        <f>Operation_Expenses[[#Totals],[Prior Actual]]+Reserve_Expenses[[#Totals],[Prior Actual]]</f>
        <v>0</v>
      </c>
      <c r="E66" s="199">
        <f>Operation_Expenses[[#Totals],[Current Monthly]]+Reserve_Expenses[[#Totals],[Current Monthly]]</f>
        <v>0</v>
      </c>
      <c r="F66" s="85">
        <f>Operation_Expenses[[#Totals],[Current Annual]]+Reserve_Expenses[[#Totals],[Current Annual]]</f>
        <v>0</v>
      </c>
      <c r="G66" s="199">
        <f>Operation_Expenses[[#Totals],[Monthly Change]]+Reserve_Expenses[[#Totals],[Monthly Change]]</f>
        <v>0</v>
      </c>
      <c r="H66" s="162"/>
      <c r="I66" s="162"/>
    </row>
    <row r="67" spans="1:11" s="9" customFormat="1" ht="13" hidden="1" x14ac:dyDescent="0.3">
      <c r="A67" s="249"/>
      <c r="B67" s="198">
        <f>SUM(B43:B65)</f>
        <v>0</v>
      </c>
      <c r="C67" s="86">
        <f>SUM(C43:C65)</f>
        <v>0</v>
      </c>
      <c r="D67" s="209">
        <f>SUM(D43:D63)</f>
        <v>0</v>
      </c>
      <c r="E67" s="198">
        <f>SUM(E43:E65)</f>
        <v>0</v>
      </c>
      <c r="F67" s="86">
        <f>SUM(F43:F65)</f>
        <v>0</v>
      </c>
      <c r="G67" s="198">
        <f>SUM(G43:G65)</f>
        <v>0</v>
      </c>
      <c r="H67" s="162"/>
      <c r="I67" s="162"/>
    </row>
    <row r="68" spans="1:11" s="9" customFormat="1" ht="13" hidden="1" x14ac:dyDescent="0.3">
      <c r="A68" s="250"/>
      <c r="B68" s="201"/>
      <c r="C68" s="210"/>
      <c r="D68" s="210"/>
      <c r="E68" s="200"/>
      <c r="F68" s="87" t="s">
        <v>0</v>
      </c>
      <c r="G68" s="200"/>
      <c r="H68" s="162"/>
      <c r="I68" s="162"/>
    </row>
    <row r="69" spans="1:11" s="9" customFormat="1" ht="13" hidden="1" x14ac:dyDescent="0.3">
      <c r="A69" s="251"/>
      <c r="B69" s="202">
        <f t="shared" ref="B69:G69" si="0">B67+B40</f>
        <v>0</v>
      </c>
      <c r="C69" s="211">
        <f t="shared" si="0"/>
        <v>0</v>
      </c>
      <c r="D69" s="211">
        <f t="shared" si="0"/>
        <v>0</v>
      </c>
      <c r="E69" s="203">
        <f t="shared" si="0"/>
        <v>0</v>
      </c>
      <c r="F69" s="88">
        <f t="shared" si="0"/>
        <v>0</v>
      </c>
      <c r="G69" s="203">
        <f t="shared" si="0"/>
        <v>0</v>
      </c>
      <c r="H69" s="162"/>
      <c r="I69" s="162"/>
      <c r="J69" s="3"/>
      <c r="K69" s="3"/>
    </row>
    <row r="70" spans="1:11" s="9" customFormat="1" ht="13.5" hidden="1" thickBot="1" x14ac:dyDescent="0.35">
      <c r="A70" s="252"/>
      <c r="B70" s="205"/>
      <c r="C70" s="212"/>
      <c r="D70" s="212"/>
      <c r="E70" s="206"/>
      <c r="F70" s="89"/>
      <c r="G70" s="204"/>
      <c r="H70" s="162"/>
      <c r="I70" s="162"/>
    </row>
    <row r="71" spans="1:11" s="9" customFormat="1" ht="13" hidden="1" x14ac:dyDescent="0.3">
      <c r="A71" s="250"/>
      <c r="B71" s="201"/>
      <c r="C71" s="210"/>
      <c r="D71" s="210"/>
      <c r="E71" s="207"/>
      <c r="F71" s="90"/>
      <c r="G71" s="200"/>
      <c r="H71" s="162"/>
      <c r="I71" s="162"/>
    </row>
    <row r="72" spans="1:11" s="9" customFormat="1" ht="13" x14ac:dyDescent="0.3">
      <c r="A72" s="253"/>
      <c r="B72" s="201"/>
      <c r="C72" s="210"/>
      <c r="D72" s="210"/>
      <c r="E72" s="207"/>
      <c r="F72" s="90"/>
      <c r="G72" s="200"/>
      <c r="H72" s="162"/>
      <c r="I72" s="162"/>
    </row>
    <row r="73" spans="1:11" s="9" customFormat="1" ht="13" x14ac:dyDescent="0.3">
      <c r="A73" s="254" t="s">
        <v>3</v>
      </c>
      <c r="B73" s="208">
        <f>Budget_Revenue[[#Totals],[Prior Monthly]]-B66</f>
        <v>0</v>
      </c>
      <c r="C73" s="91">
        <f>Budget_Revenue[[#Totals],[Prior Annual]]-C66</f>
        <v>0</v>
      </c>
      <c r="D73" s="91">
        <f>Budget_Revenue[[#Totals],[Prior Actual]]-D66</f>
        <v>0</v>
      </c>
      <c r="E73" s="208">
        <f>Budget_Revenue[[#Totals],[Current Monthly]]-E66</f>
        <v>0</v>
      </c>
      <c r="F73" s="91">
        <f>Budget_Revenue[[#Totals],[Current Annual]]-F66</f>
        <v>0</v>
      </c>
      <c r="G73" s="208">
        <f>Budget_Revenue[[#Totals],[Monthly  Change]]-G66</f>
        <v>0</v>
      </c>
      <c r="H73" s="245"/>
      <c r="I73" s="162"/>
    </row>
    <row r="74" spans="1:11" s="9" customFormat="1" ht="13" x14ac:dyDescent="0.3">
      <c r="A74" s="1"/>
      <c r="B74" s="83"/>
      <c r="C74" s="83"/>
      <c r="D74" s="83"/>
      <c r="E74" s="84"/>
      <c r="F74" s="84"/>
      <c r="G74" s="84"/>
      <c r="H74" s="19"/>
    </row>
    <row r="75" spans="1:11" s="9" customFormat="1" ht="13" x14ac:dyDescent="0.3">
      <c r="A75" s="1"/>
      <c r="B75" s="30"/>
      <c r="C75" s="30"/>
      <c r="D75" s="30"/>
      <c r="E75" s="15"/>
      <c r="F75" s="15"/>
      <c r="G75" s="15"/>
      <c r="H75" s="21"/>
    </row>
    <row r="76" spans="1:11" s="9" customFormat="1" ht="13" x14ac:dyDescent="0.3">
      <c r="D76" s="17"/>
      <c r="E76" s="18"/>
      <c r="F76" s="19"/>
      <c r="H76" s="21"/>
    </row>
    <row r="77" spans="1:11" ht="13" x14ac:dyDescent="0.3">
      <c r="A77" s="1"/>
      <c r="B77" s="16"/>
      <c r="C77" s="16"/>
      <c r="D77" s="20"/>
      <c r="E77" s="21"/>
      <c r="F77" s="21"/>
      <c r="G77" s="16"/>
    </row>
    <row r="78" spans="1:11" ht="13" x14ac:dyDescent="0.3">
      <c r="A78" s="1"/>
      <c r="B78" s="16"/>
      <c r="C78" s="16"/>
      <c r="D78" s="20"/>
      <c r="E78" s="23"/>
      <c r="F78" s="21"/>
      <c r="G78" s="16"/>
    </row>
    <row r="79" spans="1:11" ht="13" x14ac:dyDescent="0.3">
      <c r="A79" s="9"/>
      <c r="B79" s="17"/>
      <c r="C79" s="17"/>
      <c r="G79" s="19"/>
    </row>
    <row r="80" spans="1:11" ht="13" x14ac:dyDescent="0.3">
      <c r="A80" s="9"/>
      <c r="B80" s="20"/>
      <c r="C80" s="20"/>
      <c r="G80" s="21"/>
    </row>
    <row r="81" spans="1:7" ht="13" x14ac:dyDescent="0.3">
      <c r="A81" s="9"/>
      <c r="B81" s="20"/>
      <c r="C81" s="22"/>
      <c r="G81" s="24"/>
    </row>
  </sheetData>
  <sheetProtection algorithmName="SHA-512" hashValue="38DV+rMBTuqt64Ud64R9kC5jsqaoNO/wbQW6T45NWijNoljY7thylv/RsTkeLuvWZAZnfQxXEZ3jiu3NslVn6w==" saltValue="dXLFKkr8cn1x4aZTX9OrpA==" spinCount="100000" sheet="1" objects="1" scenarios="1" selectLockedCells="1"/>
  <mergeCells count="1">
    <mergeCell ref="B1:D1"/>
  </mergeCells>
  <printOptions horizontalCentered="1"/>
  <pageMargins left="0.25" right="0.25" top="0.75" bottom="0.75" header="0.3" footer="0.3"/>
  <pageSetup scale="66" orientation="portrait" r:id="rId1"/>
  <headerFooter>
    <oddHeader>&amp;C&amp;"Arial,Bold"&amp;14Budget Analysis
Version: 1.20</oddHeader>
  </headerFooter>
  <drawing r:id="rId2"/>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4"/>
  <sheetViews>
    <sheetView showZeros="0" view="pageLayout" topLeftCell="A22" zoomScaleNormal="100" workbookViewId="0">
      <selection activeCell="I58" sqref="I58"/>
    </sheetView>
  </sheetViews>
  <sheetFormatPr defaultRowHeight="12.5" x14ac:dyDescent="0.25"/>
  <cols>
    <col min="1" max="1" width="27.6328125" customWidth="1"/>
    <col min="2" max="2" width="16.453125" customWidth="1"/>
    <col min="3" max="3" width="15.453125" customWidth="1"/>
    <col min="4" max="4" width="15.90625" customWidth="1"/>
    <col min="5" max="5" width="18.36328125" customWidth="1"/>
    <col min="6" max="6" width="17.453125" customWidth="1"/>
    <col min="7" max="7" width="18.6328125" customWidth="1"/>
    <col min="8" max="8" width="13.36328125" customWidth="1"/>
    <col min="9" max="9" width="12.90625" customWidth="1"/>
    <col min="10" max="10" width="12.453125" customWidth="1"/>
    <col min="11" max="11" width="10.36328125" bestFit="1" customWidth="1"/>
    <col min="12" max="12" width="11.36328125" bestFit="1" customWidth="1"/>
  </cols>
  <sheetData>
    <row r="1" spans="1:11" ht="17.25" customHeight="1" x14ac:dyDescent="0.3">
      <c r="A1" s="8" t="s">
        <v>25</v>
      </c>
      <c r="B1" s="343" t="s">
        <v>62</v>
      </c>
      <c r="C1" s="343"/>
      <c r="D1" s="343"/>
      <c r="E1" s="7" t="s">
        <v>16</v>
      </c>
      <c r="F1" s="114">
        <v>64</v>
      </c>
      <c r="G1" s="7" t="s">
        <v>17</v>
      </c>
      <c r="H1" s="115">
        <v>42408</v>
      </c>
    </row>
    <row r="2" spans="1:11" ht="18" customHeight="1" x14ac:dyDescent="0.3">
      <c r="A2" s="25" t="s">
        <v>6</v>
      </c>
      <c r="B2" s="116">
        <v>2015</v>
      </c>
      <c r="C2" s="7"/>
      <c r="D2" s="2"/>
      <c r="F2" s="7" t="s">
        <v>56</v>
      </c>
      <c r="G2" s="111">
        <f>Operation_Expenses11[[#Totals],[Current Monthly]]</f>
        <v>203.17999999999998</v>
      </c>
    </row>
    <row r="3" spans="1:11" ht="18.75" customHeight="1" x14ac:dyDescent="0.3">
      <c r="A3" s="7" t="s">
        <v>7</v>
      </c>
      <c r="B3" s="117">
        <v>2016</v>
      </c>
      <c r="C3" s="7"/>
      <c r="D3" s="8" t="s">
        <v>9</v>
      </c>
      <c r="E3" s="118" t="s">
        <v>46</v>
      </c>
      <c r="F3" s="7" t="s">
        <v>59</v>
      </c>
      <c r="G3" s="112">
        <f>Reserve_Expenses12[[#Totals],[Current Monthly]]</f>
        <v>95</v>
      </c>
    </row>
    <row r="4" spans="1:11" ht="16.25" customHeight="1" x14ac:dyDescent="0.3">
      <c r="A4" s="4"/>
      <c r="B4" s="5" t="s">
        <v>0</v>
      </c>
      <c r="C4" s="5" t="s">
        <v>0</v>
      </c>
      <c r="D4" s="5"/>
      <c r="E4" s="5"/>
      <c r="F4" s="81" t="s">
        <v>57</v>
      </c>
      <c r="G4" s="119">
        <f>G2+G3</f>
        <v>298.17999999999995</v>
      </c>
      <c r="H4" s="5"/>
    </row>
    <row r="5" spans="1:11" ht="16.25" customHeight="1" x14ac:dyDescent="0.3">
      <c r="A5" s="4"/>
      <c r="B5" s="5"/>
      <c r="C5" s="5"/>
      <c r="D5" s="5"/>
      <c r="E5" s="5"/>
      <c r="F5" s="81"/>
      <c r="G5" s="82"/>
      <c r="H5" s="5"/>
    </row>
    <row r="6" spans="1:11" s="2" customFormat="1" ht="15" customHeight="1" x14ac:dyDescent="0.3">
      <c r="A6" s="120" t="s">
        <v>48</v>
      </c>
      <c r="B6" s="121" t="s">
        <v>47</v>
      </c>
      <c r="C6" s="122" t="s">
        <v>48</v>
      </c>
      <c r="D6" s="122" t="s">
        <v>48</v>
      </c>
      <c r="E6" s="121" t="s">
        <v>47</v>
      </c>
      <c r="F6" s="122" t="s">
        <v>48</v>
      </c>
      <c r="G6" s="121" t="s">
        <v>47</v>
      </c>
      <c r="H6" s="6"/>
    </row>
    <row r="7" spans="1:11" s="2" customFormat="1" ht="17.399999999999999" customHeight="1" x14ac:dyDescent="0.3">
      <c r="A7" s="123" t="s">
        <v>24</v>
      </c>
      <c r="B7" s="124" t="s">
        <v>18</v>
      </c>
      <c r="C7" s="125" t="s">
        <v>19</v>
      </c>
      <c r="D7" s="125" t="s">
        <v>20</v>
      </c>
      <c r="E7" s="126" t="s">
        <v>21</v>
      </c>
      <c r="F7" s="126" t="s">
        <v>22</v>
      </c>
      <c r="G7" s="126" t="s">
        <v>23</v>
      </c>
    </row>
    <row r="8" spans="1:11" ht="13" x14ac:dyDescent="0.3">
      <c r="A8" s="127" t="s">
        <v>1</v>
      </c>
      <c r="B8" s="96">
        <f>IF(ISERROR(ROUND(Budget_Revenue10[[#This Row],[Prior Annual]]/($F$1*12),2)),0,ROUND(Budget_Revenue10[[#This Row],[Prior Annual]]/($F$1*12),2))</f>
        <v>275</v>
      </c>
      <c r="C8" s="128">
        <v>211200</v>
      </c>
      <c r="D8" s="128">
        <v>211200</v>
      </c>
      <c r="E8" s="98">
        <f>IF(ISERROR(ROUND(Budget_Revenue10[[#This Row],[Current Annual]]/($F$1*12),2)),0,(ROUND(Budget_Revenue10[[#This Row],[Current Annual]]/($F$1*12),2)))</f>
        <v>315</v>
      </c>
      <c r="F8" s="98">
        <v>241920</v>
      </c>
      <c r="G8" s="101">
        <f>SUM(Budget_Revenue10[[#This Row],[Current Monthly]]-Budget_Revenue10[[#This Row],[Prior Monthly]])</f>
        <v>40</v>
      </c>
      <c r="I8" s="6"/>
      <c r="J8" s="3"/>
      <c r="K8" s="3"/>
    </row>
    <row r="9" spans="1:11" ht="13" x14ac:dyDescent="0.3">
      <c r="A9" s="127"/>
      <c r="B9" s="96">
        <f>IF(ISERROR(ROUND(Budget_Revenue10[[#This Row],[Prior Annual]]/($F$1*12),2)),0,ROUND(Budget_Revenue10[[#This Row],[Prior Annual]]/($F$1*12),2))</f>
        <v>0</v>
      </c>
      <c r="C9" s="128"/>
      <c r="D9" s="128"/>
      <c r="E9" s="99">
        <f>IF(ISERROR(ROUND(Budget_Revenue10[[#This Row],[Current Annual]]/($F$1*12),2)),0,(ROUND(Budget_Revenue10[[#This Row],[Current Annual]]/($F$1*12),2)))</f>
        <v>0</v>
      </c>
      <c r="F9" s="102"/>
      <c r="G9" s="102">
        <f>SUM(Budget_Revenue10[[#This Row],[Current Monthly]]-Budget_Revenue10[[#This Row],[Prior Monthly]])</f>
        <v>0</v>
      </c>
      <c r="I9" s="6"/>
      <c r="J9" s="3"/>
      <c r="K9" s="3"/>
    </row>
    <row r="10" spans="1:11" ht="13" x14ac:dyDescent="0.3">
      <c r="A10" s="127"/>
      <c r="B10" s="96">
        <f>IF(ISERROR(ROUND(Budget_Revenue10[[#This Row],[Prior Annual]]/($F$1*12),2)),0,ROUND(Budget_Revenue10[[#This Row],[Prior Annual]]/($F$1*12),2))</f>
        <v>0</v>
      </c>
      <c r="C10" s="128"/>
      <c r="D10" s="128"/>
      <c r="E10" s="99">
        <f>IF(ISERROR(ROUND(Budget_Revenue10[[#This Row],[Current Annual]]/($F$1*12),2)),0,(ROUND(Budget_Revenue10[[#This Row],[Current Annual]]/($F$1*12),2)))</f>
        <v>0</v>
      </c>
      <c r="F10" s="102"/>
      <c r="G10" s="102">
        <f>SUM(Budget_Revenue10[[#This Row],[Current Monthly]]-Budget_Revenue10[[#This Row],[Prior Monthly]])</f>
        <v>0</v>
      </c>
      <c r="I10" s="6"/>
      <c r="J10" s="3"/>
      <c r="K10" s="3"/>
    </row>
    <row r="11" spans="1:11" ht="13" x14ac:dyDescent="0.3">
      <c r="A11" s="127"/>
      <c r="B11" s="96">
        <f>IF(ISERROR(ROUND(Budget_Revenue10[[#This Row],[Prior Annual]]/($F$1*12),2)),0,ROUND(Budget_Revenue10[[#This Row],[Prior Annual]]/($F$1*12),2))</f>
        <v>0</v>
      </c>
      <c r="C11" s="128"/>
      <c r="D11" s="128"/>
      <c r="E11" s="99">
        <f>IF(ISERROR(ROUND(Budget_Revenue10[[#This Row],[Current Annual]]/($F$1*12),2)),0,(ROUND(Budget_Revenue10[[#This Row],[Current Annual]]/($F$1*12),2)))</f>
        <v>0</v>
      </c>
      <c r="F11" s="102"/>
      <c r="G11" s="102">
        <f>SUM(Budget_Revenue10[[#This Row],[Current Monthly]]-Budget_Revenue10[[#This Row],[Prior Monthly]])</f>
        <v>0</v>
      </c>
      <c r="I11" s="6"/>
      <c r="J11" s="3"/>
      <c r="K11" s="3"/>
    </row>
    <row r="12" spans="1:11" ht="13" x14ac:dyDescent="0.3">
      <c r="A12" s="127"/>
      <c r="B12" s="96">
        <f>IF(ISERROR(ROUND(Budget_Revenue10[[#This Row],[Prior Annual]]/($F$1*12),2)),0,ROUND(Budget_Revenue10[[#This Row],[Prior Annual]]/($F$1*12),2))</f>
        <v>0</v>
      </c>
      <c r="C12" s="128"/>
      <c r="D12" s="128"/>
      <c r="E12" s="99">
        <f>IF(ISERROR(ROUND(Budget_Revenue10[[#This Row],[Current Annual]]/($F$1*12),2)),0,(ROUND(Budget_Revenue10[[#This Row],[Current Annual]]/($F$1*12),2)))</f>
        <v>0</v>
      </c>
      <c r="F12" s="102"/>
      <c r="G12" s="102">
        <f>SUM(Budget_Revenue10[[#This Row],[Current Monthly]]-Budget_Revenue10[[#This Row],[Prior Monthly]])</f>
        <v>0</v>
      </c>
      <c r="I12" s="6"/>
      <c r="J12" s="3"/>
      <c r="K12" s="3"/>
    </row>
    <row r="13" spans="1:11" ht="13" x14ac:dyDescent="0.3">
      <c r="A13" s="127"/>
      <c r="B13" s="96">
        <f>IF(ISERROR(ROUND(Budget_Revenue10[[#This Row],[Prior Annual]]/($F$1*12),2)),0,ROUND(Budget_Revenue10[[#This Row],[Prior Annual]]/($F$1*12),2))</f>
        <v>0</v>
      </c>
      <c r="C13" s="128"/>
      <c r="D13" s="128"/>
      <c r="E13" s="99">
        <f>IF(ISERROR(ROUND(Budget_Revenue10[[#This Row],[Current Annual]]/($F$1*12),2)),0,(ROUND(Budget_Revenue10[[#This Row],[Current Annual]]/($F$1*12),2)))</f>
        <v>0</v>
      </c>
      <c r="F13" s="102"/>
      <c r="G13" s="102">
        <f>SUM(Budget_Revenue10[[#This Row],[Current Monthly]]-Budget_Revenue10[[#This Row],[Prior Monthly]])</f>
        <v>0</v>
      </c>
      <c r="I13" s="6"/>
      <c r="J13" s="3"/>
      <c r="K13" s="3"/>
    </row>
    <row r="14" spans="1:11" ht="13" x14ac:dyDescent="0.3">
      <c r="A14" s="127"/>
      <c r="B14" s="96">
        <f>IF(ISERROR(ROUND(Budget_Revenue10[[#This Row],[Prior Annual]]/($F$1*12),2)),0,ROUND(Budget_Revenue10[[#This Row],[Prior Annual]]/($F$1*12),2))</f>
        <v>0</v>
      </c>
      <c r="C14" s="128"/>
      <c r="D14" s="128"/>
      <c r="E14" s="99">
        <f>IF(ISERROR(ROUND(Budget_Revenue10[[#This Row],[Current Annual]]/($F$1*12),2)),0,(ROUND(Budget_Revenue10[[#This Row],[Current Annual]]/($F$1*12),2)))</f>
        <v>0</v>
      </c>
      <c r="F14" s="102"/>
      <c r="G14" s="102">
        <f>SUM(Budget_Revenue10[[#This Row],[Current Monthly]]-Budget_Revenue10[[#This Row],[Prior Monthly]])</f>
        <v>0</v>
      </c>
      <c r="I14" s="6"/>
      <c r="J14" s="3"/>
      <c r="K14" s="3"/>
    </row>
    <row r="15" spans="1:11" ht="13" x14ac:dyDescent="0.3">
      <c r="A15" s="127"/>
      <c r="B15" s="96">
        <f>IF(ISERROR(ROUND(Budget_Revenue10[[#This Row],[Prior Annual]]/($F$1*12),2)),0,ROUND(Budget_Revenue10[[#This Row],[Prior Annual]]/($F$1*12),2))</f>
        <v>0</v>
      </c>
      <c r="C15" s="128"/>
      <c r="D15" s="128"/>
      <c r="E15" s="99">
        <f>IF(ISERROR(ROUND(Budget_Revenue10[[#This Row],[Current Annual]]/($F$1*12),2)),0,(ROUND(Budget_Revenue10[[#This Row],[Current Annual]]/($F$1*12),2)))</f>
        <v>0</v>
      </c>
      <c r="F15" s="102"/>
      <c r="G15" s="102">
        <f>SUM(Budget_Revenue10[[#This Row],[Current Monthly]]-Budget_Revenue10[[#This Row],[Prior Monthly]])</f>
        <v>0</v>
      </c>
      <c r="I15" s="6"/>
      <c r="J15" s="3"/>
      <c r="K15" s="3"/>
    </row>
    <row r="16" spans="1:11" ht="13" x14ac:dyDescent="0.3">
      <c r="A16" s="127"/>
      <c r="B16" s="96">
        <f>IF(ISERROR(ROUND(Budget_Revenue10[[#This Row],[Prior Annual]]/($F$1*12),2)),0,ROUND(Budget_Revenue10[[#This Row],[Prior Annual]]/($F$1*12),2))</f>
        <v>0</v>
      </c>
      <c r="C16" s="128"/>
      <c r="D16" s="128"/>
      <c r="E16" s="99">
        <f>IF(ISERROR(ROUND(Budget_Revenue10[[#This Row],[Current Annual]]/($F$1*12),2)),0,(ROUND(Budget_Revenue10[[#This Row],[Current Annual]]/($F$1*12),2)))</f>
        <v>0</v>
      </c>
      <c r="F16" s="102"/>
      <c r="G16" s="102">
        <f>SUM(Budget_Revenue10[[#This Row],[Current Monthly]]-Budget_Revenue10[[#This Row],[Prior Monthly]])</f>
        <v>0</v>
      </c>
      <c r="I16" s="6"/>
      <c r="J16" s="3"/>
      <c r="K16" s="3"/>
    </row>
    <row r="17" spans="1:11" ht="13" x14ac:dyDescent="0.3">
      <c r="A17" s="127"/>
      <c r="B17" s="96">
        <f>IF(ISERROR(ROUND(Budget_Revenue10[[#This Row],[Prior Annual]]/($F$1*12),2)),0,ROUND(Budget_Revenue10[[#This Row],[Prior Annual]]/($F$1*12),2))</f>
        <v>0</v>
      </c>
      <c r="C17" s="128"/>
      <c r="D17" s="128"/>
      <c r="E17" s="99">
        <f>IF(ISERROR(ROUND(Budget_Revenue10[[#This Row],[Current Annual]]/($F$1*12),2)),0,(ROUND(Budget_Revenue10[[#This Row],[Current Annual]]/($F$1*12),2)))</f>
        <v>0</v>
      </c>
      <c r="F17" s="102"/>
      <c r="G17" s="102">
        <f>SUM(Budget_Revenue10[[#This Row],[Current Monthly]]-Budget_Revenue10[[#This Row],[Prior Monthly]])</f>
        <v>0</v>
      </c>
      <c r="I17" s="6"/>
      <c r="J17" s="3"/>
      <c r="K17" s="3"/>
    </row>
    <row r="18" spans="1:11" ht="13" x14ac:dyDescent="0.3">
      <c r="A18" s="129" t="s">
        <v>58</v>
      </c>
      <c r="B18" s="97">
        <f>SUBTOTAL(109,Budget_Revenue10[Prior Monthly])</f>
        <v>275</v>
      </c>
      <c r="C18" s="97">
        <f>SUBTOTAL(109,Budget_Revenue10[Prior Annual])</f>
        <v>211200</v>
      </c>
      <c r="D18" s="97">
        <f>SUBTOTAL(109,Budget_Revenue10[Prior Actual])</f>
        <v>211200</v>
      </c>
      <c r="E18" s="100">
        <f>SUBTOTAL(109,Budget_Revenue10[Current Monthly])</f>
        <v>315</v>
      </c>
      <c r="F18" s="100">
        <f>SUBTOTAL(109,Budget_Revenue10[Current Annual])</f>
        <v>241920</v>
      </c>
      <c r="G18" s="100">
        <f>SUBTOTAL(109,Budget_Revenue10[Monthly  Change])</f>
        <v>40</v>
      </c>
    </row>
    <row r="19" spans="1:11" ht="13" x14ac:dyDescent="0.3">
      <c r="A19" s="7"/>
      <c r="B19" s="28"/>
      <c r="C19" s="28"/>
      <c r="D19" s="28"/>
      <c r="E19" s="10"/>
      <c r="F19" s="10"/>
      <c r="G19" s="10"/>
    </row>
    <row r="20" spans="1:11" ht="13" x14ac:dyDescent="0.3">
      <c r="A20" s="7"/>
      <c r="B20" s="28"/>
      <c r="C20" s="28"/>
      <c r="D20" s="28"/>
      <c r="E20" s="10"/>
      <c r="F20" s="10"/>
      <c r="G20" s="10"/>
    </row>
    <row r="21" spans="1:11" ht="13" x14ac:dyDescent="0.3">
      <c r="A21" s="120" t="s">
        <v>48</v>
      </c>
      <c r="B21" s="121" t="s">
        <v>47</v>
      </c>
      <c r="C21" s="122" t="s">
        <v>48</v>
      </c>
      <c r="D21" s="122" t="s">
        <v>48</v>
      </c>
      <c r="E21" s="121" t="s">
        <v>47</v>
      </c>
      <c r="F21" s="122" t="s">
        <v>48</v>
      </c>
      <c r="G21" s="121" t="s">
        <v>47</v>
      </c>
      <c r="J21" s="3"/>
      <c r="K21" s="3"/>
    </row>
    <row r="22" spans="1:11" ht="13" x14ac:dyDescent="0.3">
      <c r="A22" s="123" t="s">
        <v>29</v>
      </c>
      <c r="B22" s="130" t="s">
        <v>18</v>
      </c>
      <c r="C22" s="131" t="s">
        <v>19</v>
      </c>
      <c r="D22" s="131" t="s">
        <v>20</v>
      </c>
      <c r="E22" s="132" t="s">
        <v>21</v>
      </c>
      <c r="F22" s="133" t="s">
        <v>22</v>
      </c>
      <c r="G22" s="133" t="s">
        <v>27</v>
      </c>
      <c r="J22" s="3"/>
      <c r="K22" s="3"/>
    </row>
    <row r="23" spans="1:11" ht="13" x14ac:dyDescent="0.3">
      <c r="A23" s="127" t="s">
        <v>28</v>
      </c>
      <c r="B23" s="104">
        <f>IF(ISERROR(ROUND(Operation_Expenses11[[#This Row],[Prior Annual]]/($F$1*12),2)),0,ROUND(Operation_Expenses11[[#This Row],[Prior Annual]]/($F$1*12),2))</f>
        <v>5.47</v>
      </c>
      <c r="C23" s="134">
        <v>4200</v>
      </c>
      <c r="D23" s="134">
        <v>4200</v>
      </c>
      <c r="E23" s="101">
        <f>IF(ISERROR(ROUND(Operation_Expenses11[[#This Row],[Current Annual]]/($F$1*12),2)),0,(ROUND(Operation_Expenses11[[#This Row],[Current Annual]]/($F$1*12),2)))</f>
        <v>5.47</v>
      </c>
      <c r="F23" s="101">
        <v>4200</v>
      </c>
      <c r="G23" s="101">
        <f>SUM(Operation_Expenses11[[#This Row],[Current Monthly]]-Operation_Expenses11[[#This Row],[Prior Monthly]])</f>
        <v>0</v>
      </c>
      <c r="J23" s="3"/>
      <c r="K23" s="3"/>
    </row>
    <row r="24" spans="1:11" ht="13" x14ac:dyDescent="0.3">
      <c r="A24" s="127" t="s">
        <v>69</v>
      </c>
      <c r="B24" s="104">
        <f>IF(ISERROR(ROUND(Operation_Expenses11[[#This Row],[Prior Annual]]/($F$1*12),2)),0,ROUND(Operation_Expenses11[[#This Row],[Prior Annual]]/($F$1*12),2))</f>
        <v>15.63</v>
      </c>
      <c r="C24" s="134">
        <v>12000</v>
      </c>
      <c r="D24" s="134">
        <v>10500</v>
      </c>
      <c r="E24" s="101">
        <f>IF(ISERROR(ROUND(Operation_Expenses11[[#This Row],[Current Annual]]/($F$1*12),2)),0,(ROUND(Operation_Expenses11[[#This Row],[Current Annual]]/($F$1*12),2)))</f>
        <v>18.88</v>
      </c>
      <c r="F24" s="101">
        <v>14500</v>
      </c>
      <c r="G24" s="101">
        <f>SUM(Operation_Expenses11[[#This Row],[Current Monthly]]-Operation_Expenses11[[#This Row],[Prior Monthly]])</f>
        <v>3.2499999999999982</v>
      </c>
      <c r="J24" s="3"/>
      <c r="K24" s="3"/>
    </row>
    <row r="25" spans="1:11" ht="13" x14ac:dyDescent="0.3">
      <c r="A25" s="127" t="s">
        <v>72</v>
      </c>
      <c r="B25" s="104">
        <f>IF(ISERROR(ROUND(Operation_Expenses11[[#This Row],[Prior Annual]]/($F$1*12),2)),0,ROUND(Operation_Expenses11[[#This Row],[Prior Annual]]/($F$1*12),2))</f>
        <v>6.51</v>
      </c>
      <c r="C25" s="134">
        <v>5000</v>
      </c>
      <c r="D25" s="134">
        <v>3654</v>
      </c>
      <c r="E25" s="101">
        <f>IF(ISERROR(ROUND(Operation_Expenses11[[#This Row],[Current Annual]]/($F$1*12),2)),0,(ROUND(Operation_Expenses11[[#This Row],[Current Annual]]/($F$1*12),2)))</f>
        <v>6.51</v>
      </c>
      <c r="F25" s="101">
        <v>5000</v>
      </c>
      <c r="G25" s="101">
        <f>SUM(Operation_Expenses11[[#This Row],[Current Monthly]]-Operation_Expenses11[[#This Row],[Prior Monthly]])</f>
        <v>0</v>
      </c>
      <c r="J25" s="3"/>
      <c r="K25" s="3"/>
    </row>
    <row r="26" spans="1:11" ht="13" x14ac:dyDescent="0.3">
      <c r="A26" s="127" t="s">
        <v>73</v>
      </c>
      <c r="B26" s="104">
        <f>IF(ISERROR(ROUND(Operation_Expenses11[[#This Row],[Prior Annual]]/($F$1*12),2)),0,ROUND(Operation_Expenses11[[#This Row],[Prior Annual]]/($F$1*12),2))</f>
        <v>13.02</v>
      </c>
      <c r="C26" s="134">
        <v>10000</v>
      </c>
      <c r="D26" s="134">
        <v>9650</v>
      </c>
      <c r="E26" s="101">
        <f>IF(ISERROR(ROUND(Operation_Expenses11[[#This Row],[Current Annual]]/($F$1*12),2)),0,(ROUND(Operation_Expenses11[[#This Row],[Current Annual]]/($F$1*12),2)))</f>
        <v>14.97</v>
      </c>
      <c r="F26" s="101">
        <v>11500</v>
      </c>
      <c r="G26" s="101">
        <f>SUM(Operation_Expenses11[[#This Row],[Current Monthly]]-Operation_Expenses11[[#This Row],[Prior Monthly]])</f>
        <v>1.9500000000000011</v>
      </c>
      <c r="J26" s="3"/>
      <c r="K26" s="3"/>
    </row>
    <row r="27" spans="1:11" ht="13" x14ac:dyDescent="0.3">
      <c r="A27" s="127" t="s">
        <v>70</v>
      </c>
      <c r="B27" s="104">
        <f>IF(ISERROR(ROUND(Operation_Expenses11[[#This Row],[Prior Annual]]/($F$1*12),2)),0,ROUND(Operation_Expenses11[[#This Row],[Prior Annual]]/($F$1*12),2))</f>
        <v>12.57</v>
      </c>
      <c r="C27" s="134">
        <v>9650</v>
      </c>
      <c r="D27" s="134">
        <v>9650</v>
      </c>
      <c r="E27" s="101">
        <f>IF(ISERROR(ROUND(Operation_Expenses11[[#This Row],[Current Annual]]/($F$1*12),2)),0,(ROUND(Operation_Expenses11[[#This Row],[Current Annual]]/($F$1*12),2)))</f>
        <v>13.02</v>
      </c>
      <c r="F27" s="101">
        <v>10000</v>
      </c>
      <c r="G27" s="101">
        <f>SUM(Operation_Expenses11[[#This Row],[Current Monthly]]-Operation_Expenses11[[#This Row],[Prior Monthly]])</f>
        <v>0.44999999999999929</v>
      </c>
      <c r="J27" s="3"/>
      <c r="K27" s="3"/>
    </row>
    <row r="28" spans="1:11" ht="13" x14ac:dyDescent="0.3">
      <c r="A28" s="127" t="s">
        <v>71</v>
      </c>
      <c r="B28" s="104">
        <f>IF(ISERROR(ROUND(Operation_Expenses11[[#This Row],[Prior Annual]]/($F$1*12),2)),0,ROUND(Operation_Expenses11[[#This Row],[Prior Annual]]/($F$1*12),2))</f>
        <v>78.13</v>
      </c>
      <c r="C28" s="134">
        <v>60000</v>
      </c>
      <c r="D28" s="134">
        <v>78540</v>
      </c>
      <c r="E28" s="101">
        <f>IF(ISERROR(ROUND(Operation_Expenses11[[#This Row],[Current Annual]]/($F$1*12),2)),0,(ROUND(Operation_Expenses11[[#This Row],[Current Annual]]/($F$1*12),2)))</f>
        <v>80.73</v>
      </c>
      <c r="F28" s="101">
        <v>62000</v>
      </c>
      <c r="G28" s="101">
        <f>SUM(Operation_Expenses11[[#This Row],[Current Monthly]]-Operation_Expenses11[[#This Row],[Prior Monthly]])</f>
        <v>2.6000000000000085</v>
      </c>
      <c r="J28" s="3"/>
      <c r="K28" s="3"/>
    </row>
    <row r="29" spans="1:11" ht="13" x14ac:dyDescent="0.3">
      <c r="A29" s="127" t="s">
        <v>74</v>
      </c>
      <c r="B29" s="104">
        <f>IF(ISERROR(ROUND(Operation_Expenses11[[#This Row],[Prior Annual]]/($F$1*12),2)),0,ROUND(Operation_Expenses11[[#This Row],[Prior Annual]]/($F$1*12),2))</f>
        <v>39.06</v>
      </c>
      <c r="C29" s="134">
        <v>30000</v>
      </c>
      <c r="D29" s="134">
        <v>40800</v>
      </c>
      <c r="E29" s="101">
        <f>IF(ISERROR(ROUND(Operation_Expenses11[[#This Row],[Current Annual]]/($F$1*12),2)),0,(ROUND(Operation_Expenses11[[#This Row],[Current Annual]]/($F$1*12),2)))</f>
        <v>41.67</v>
      </c>
      <c r="F29" s="101">
        <v>32000</v>
      </c>
      <c r="G29" s="101">
        <f>SUM(Operation_Expenses11[[#This Row],[Current Monthly]]-Operation_Expenses11[[#This Row],[Prior Monthly]])</f>
        <v>2.6099999999999994</v>
      </c>
      <c r="J29" s="3"/>
      <c r="K29" s="3"/>
    </row>
    <row r="30" spans="1:11" ht="13" x14ac:dyDescent="0.3">
      <c r="A30" s="127" t="s">
        <v>75</v>
      </c>
      <c r="B30" s="105">
        <f>IF(ISERROR(ROUND(Operation_Expenses11[[#This Row],[Prior Annual]]/($F$1*12),2)),0,ROUND(Operation_Expenses11[[#This Row],[Prior Annual]]/($F$1*12),2))</f>
        <v>26.28</v>
      </c>
      <c r="C30" s="135">
        <v>20183</v>
      </c>
      <c r="D30" s="135">
        <v>21580</v>
      </c>
      <c r="E30" s="101">
        <f>IF(ISERROR(ROUND(Operation_Expenses11[[#This Row],[Current Annual]]/($F$1*12),2)),0,(ROUND(Operation_Expenses11[[#This Row],[Current Annual]]/($F$1*12),2)))</f>
        <v>28.65</v>
      </c>
      <c r="F30" s="101">
        <v>22000</v>
      </c>
      <c r="G30" s="102">
        <f>SUM(Operation_Expenses11[[#This Row],[Current Monthly]]-Operation_Expenses11[[#This Row],[Prior Monthly]])</f>
        <v>2.3699999999999974</v>
      </c>
      <c r="J30" s="3"/>
      <c r="K30" s="3"/>
    </row>
    <row r="31" spans="1:11" ht="13" x14ac:dyDescent="0.3">
      <c r="A31" s="127" t="s">
        <v>76</v>
      </c>
      <c r="B31" s="105">
        <f>IF(ISERROR(ROUND(Operation_Expenses11[[#This Row],[Prior Annual]]/($F$1*12),2)),0,ROUND(Operation_Expenses11[[#This Row],[Prior Annual]]/($F$1*12),2))</f>
        <v>6.51</v>
      </c>
      <c r="C31" s="135">
        <v>5000</v>
      </c>
      <c r="D31" s="135">
        <v>2600</v>
      </c>
      <c r="E31" s="101">
        <f>IF(ISERROR(ROUND(Operation_Expenses11[[#This Row],[Current Annual]]/($F$1*12),2)),0,(ROUND(Operation_Expenses11[[#This Row],[Current Annual]]/($F$1*12),2)))</f>
        <v>6.51</v>
      </c>
      <c r="F31" s="101">
        <v>5000</v>
      </c>
      <c r="G31" s="102">
        <f>SUM(Operation_Expenses11[[#This Row],[Current Monthly]]-Operation_Expenses11[[#This Row],[Prior Monthly]])</f>
        <v>0</v>
      </c>
      <c r="J31" s="3"/>
      <c r="K31" s="3"/>
    </row>
    <row r="32" spans="1:11" ht="13" x14ac:dyDescent="0.3">
      <c r="A32" s="127"/>
      <c r="B32" s="105">
        <f>IF(ISERROR(ROUND(Operation_Expenses11[[#This Row],[Prior Annual]]/($F$1*12),2)),0,ROUND(Operation_Expenses11[[#This Row],[Prior Annual]]/($F$1*12),2))</f>
        <v>0</v>
      </c>
      <c r="C32" s="135"/>
      <c r="D32" s="135"/>
      <c r="E32" s="101">
        <f>IF(ISERROR(ROUND(Operation_Expenses11[[#This Row],[Current Annual]]/($F$1*12),2)),0,(ROUND(Operation_Expenses11[[#This Row],[Current Annual]]/($F$1*12),2)))</f>
        <v>0</v>
      </c>
      <c r="F32" s="101"/>
      <c r="G32" s="102">
        <f>SUM(Operation_Expenses11[[#This Row],[Current Monthly]]-Operation_Expenses11[[#This Row],[Prior Monthly]])</f>
        <v>0</v>
      </c>
      <c r="J32" s="3"/>
      <c r="K32" s="3"/>
    </row>
    <row r="33" spans="1:11" ht="13" x14ac:dyDescent="0.3">
      <c r="A33" s="127"/>
      <c r="B33" s="105">
        <f>IF(ISERROR(ROUND(Operation_Expenses11[[#This Row],[Prior Annual]]/($F$1*12),2)),0,ROUND(Operation_Expenses11[[#This Row],[Prior Annual]]/($F$1*12),2))</f>
        <v>0</v>
      </c>
      <c r="C33" s="135"/>
      <c r="D33" s="135"/>
      <c r="E33" s="101">
        <f>IF(ISERROR(ROUND(Operation_Expenses11[[#This Row],[Current Annual]]/($F$1*12),2)),0,(ROUND(Operation_Expenses11[[#This Row],[Current Annual]]/($F$1*12),2)))</f>
        <v>0</v>
      </c>
      <c r="F33" s="101"/>
      <c r="G33" s="102">
        <f>SUM(Operation_Expenses11[[#This Row],[Current Monthly]]-Operation_Expenses11[[#This Row],[Prior Monthly]])</f>
        <v>0</v>
      </c>
      <c r="J33" s="3"/>
      <c r="K33" s="3"/>
    </row>
    <row r="34" spans="1:11" ht="13" x14ac:dyDescent="0.3">
      <c r="A34" s="127"/>
      <c r="B34" s="105">
        <f>IF(ISERROR(ROUND(Operation_Expenses11[[#This Row],[Prior Annual]]/($F$1*12),2)),0,ROUND(Operation_Expenses11[[#This Row],[Prior Annual]]/($F$1*12),2))</f>
        <v>0</v>
      </c>
      <c r="C34" s="135"/>
      <c r="D34" s="135"/>
      <c r="E34" s="101">
        <f>IF(ISERROR(ROUND(Operation_Expenses11[[#This Row],[Current Annual]]/($F$1*12),2)),0,(ROUND(Operation_Expenses11[[#This Row],[Current Annual]]/($F$1*12),2)))</f>
        <v>0</v>
      </c>
      <c r="F34" s="101"/>
      <c r="G34" s="102">
        <f>SUM(Operation_Expenses11[[#This Row],[Current Monthly]]-Operation_Expenses11[[#This Row],[Prior Monthly]])</f>
        <v>0</v>
      </c>
      <c r="J34" s="3"/>
      <c r="K34" s="3"/>
    </row>
    <row r="35" spans="1:11" ht="13" x14ac:dyDescent="0.3">
      <c r="A35" s="127"/>
      <c r="B35" s="105">
        <f>IF(ISERROR(ROUND(Operation_Expenses11[[#This Row],[Prior Annual]]/($F$1*12),2)),0,ROUND(Operation_Expenses11[[#This Row],[Prior Annual]]/($F$1*12),2))</f>
        <v>0</v>
      </c>
      <c r="C35" s="135"/>
      <c r="D35" s="135"/>
      <c r="E35" s="101">
        <f>IF(ISERROR(ROUND(Operation_Expenses11[[#This Row],[Current Annual]]/($F$1*12),2)),0,(ROUND(Operation_Expenses11[[#This Row],[Current Annual]]/($F$1*12),2)))</f>
        <v>0</v>
      </c>
      <c r="F35" s="101"/>
      <c r="G35" s="102">
        <f>SUM(Operation_Expenses11[[#This Row],[Current Monthly]]-Operation_Expenses11[[#This Row],[Prior Monthly]])</f>
        <v>0</v>
      </c>
      <c r="J35" s="3"/>
      <c r="K35" s="3"/>
    </row>
    <row r="36" spans="1:11" ht="13" x14ac:dyDescent="0.3">
      <c r="A36" s="127"/>
      <c r="B36" s="105">
        <f>IF(ISERROR(ROUND(Operation_Expenses11[[#This Row],[Prior Annual]]/($F$1*12),2)),0,ROUND(Operation_Expenses11[[#This Row],[Prior Annual]]/($F$1*12),2))</f>
        <v>0</v>
      </c>
      <c r="C36" s="135"/>
      <c r="D36" s="135"/>
      <c r="E36" s="101">
        <f>IF(ISERROR(ROUND(Operation_Expenses11[[#This Row],[Current Annual]]/($F$1*12),2)),0,(ROUND(Operation_Expenses11[[#This Row],[Current Annual]]/($F$1*12),2)))</f>
        <v>0</v>
      </c>
      <c r="F36" s="101"/>
      <c r="G36" s="102">
        <f>SUM(Operation_Expenses11[[#This Row],[Current Monthly]]-Operation_Expenses11[[#This Row],[Prior Monthly]])</f>
        <v>0</v>
      </c>
      <c r="J36" s="3"/>
      <c r="K36" s="3"/>
    </row>
    <row r="37" spans="1:11" ht="13" x14ac:dyDescent="0.3">
      <c r="A37" s="127"/>
      <c r="B37" s="105">
        <f>IF(ISERROR(ROUND(Operation_Expenses11[[#This Row],[Prior Annual]]/($F$1*12),2)),0,ROUND(Operation_Expenses11[[#This Row],[Prior Annual]]/($F$1*12),2))</f>
        <v>0</v>
      </c>
      <c r="C37" s="135"/>
      <c r="D37" s="135"/>
      <c r="E37" s="101">
        <f>IF(ISERROR(ROUND(Operation_Expenses11[[#This Row],[Current Annual]]/($F$1*12),2)),0,(ROUND(Operation_Expenses11[[#This Row],[Current Annual]]/($F$1*12),2)))</f>
        <v>0</v>
      </c>
      <c r="F37" s="101"/>
      <c r="G37" s="102">
        <f>SUM(Operation_Expenses11[[#This Row],[Current Monthly]]-Operation_Expenses11[[#This Row],[Prior Monthly]])</f>
        <v>0</v>
      </c>
      <c r="J37" s="3"/>
      <c r="K37" s="3"/>
    </row>
    <row r="38" spans="1:11" s="2" customFormat="1" ht="13" x14ac:dyDescent="0.3">
      <c r="A38" s="129" t="s">
        <v>30</v>
      </c>
      <c r="B38" s="106">
        <f>SUBTOTAL(109,Operation_Expenses11[Prior Monthly])</f>
        <v>203.17999999999998</v>
      </c>
      <c r="C38" s="97">
        <f>SUBTOTAL(109,Operation_Expenses11[Prior Annual])</f>
        <v>156033</v>
      </c>
      <c r="D38" s="97">
        <f>SUBTOTAL(109,Operation_Expenses11[Prior Actual])</f>
        <v>181174</v>
      </c>
      <c r="E38" s="100">
        <f>SUBTOTAL(109,Operation_Expenses11[Prior Monthly])</f>
        <v>203.17999999999998</v>
      </c>
      <c r="F38" s="100">
        <f>SUBTOTAL(109,Operation_Expenses11[Current Annual])</f>
        <v>166200</v>
      </c>
      <c r="G38" s="136">
        <f>SUBTOTAL(109,Operation_Expenses11[Monthly Change])</f>
        <v>13.230000000000004</v>
      </c>
    </row>
    <row r="39" spans="1:11" ht="13" x14ac:dyDescent="0.3">
      <c r="A39" s="8"/>
      <c r="B39" s="29"/>
      <c r="C39" s="29"/>
      <c r="D39" s="29"/>
      <c r="E39" s="11"/>
      <c r="F39" s="11"/>
      <c r="G39" s="11"/>
      <c r="J39" s="3"/>
      <c r="K39" s="3"/>
    </row>
    <row r="40" spans="1:11" ht="13" x14ac:dyDescent="0.3">
      <c r="A40" s="120" t="s">
        <v>48</v>
      </c>
      <c r="B40" s="121" t="s">
        <v>47</v>
      </c>
      <c r="C40" s="120" t="s">
        <v>48</v>
      </c>
      <c r="D40" s="120" t="s">
        <v>48</v>
      </c>
      <c r="E40" s="121" t="s">
        <v>47</v>
      </c>
      <c r="F40" s="120" t="s">
        <v>48</v>
      </c>
      <c r="G40" s="121" t="s">
        <v>47</v>
      </c>
      <c r="J40" s="3"/>
      <c r="K40" s="3"/>
    </row>
    <row r="41" spans="1:11" ht="13" x14ac:dyDescent="0.3">
      <c r="A41" s="123" t="s">
        <v>26</v>
      </c>
      <c r="B41" s="137" t="s">
        <v>18</v>
      </c>
      <c r="C41" s="137" t="s">
        <v>19</v>
      </c>
      <c r="D41" s="137" t="s">
        <v>20</v>
      </c>
      <c r="E41" s="138" t="s">
        <v>21</v>
      </c>
      <c r="F41" s="138" t="s">
        <v>22</v>
      </c>
      <c r="G41" s="138" t="s">
        <v>27</v>
      </c>
      <c r="J41" s="3"/>
      <c r="K41" s="3"/>
    </row>
    <row r="42" spans="1:11" ht="13" x14ac:dyDescent="0.3">
      <c r="A42" s="127" t="s">
        <v>61</v>
      </c>
      <c r="B42" s="96">
        <f>IF(ISERROR(ROUND(Reserve_Expenses12[[#This Row],[Prior Annual]]/($F$1*12),2)),0,(ROUND(Reserve_Expenses12[[#This Row],[Prior Annual]]/($F$1*12),2)))</f>
        <v>2.6</v>
      </c>
      <c r="C42" s="128">
        <v>2000</v>
      </c>
      <c r="D42" s="128">
        <v>2000</v>
      </c>
      <c r="E42" s="101">
        <f>IF(ISERROR(ROUND(Reserve_Expenses12[[#This Row],[Current Annual]]/($F$1*12),2)),0,(ROUND(Reserve_Expenses12[[#This Row],[Current Annual]]/($F$1*12),2)))</f>
        <v>0</v>
      </c>
      <c r="F42" s="139">
        <v>0</v>
      </c>
      <c r="G42" s="101">
        <f>SUM(Reserve_Expenses12[[#This Row],[Current Monthly]]-Reserve_Expenses12[[#This Row],[Prior Monthly]])</f>
        <v>-2.6</v>
      </c>
      <c r="J42" s="3"/>
      <c r="K42" s="3"/>
    </row>
    <row r="43" spans="1:11" ht="13" x14ac:dyDescent="0.3">
      <c r="A43" s="109" t="s">
        <v>63</v>
      </c>
      <c r="B43" s="96">
        <f>IF(ISERROR(ROUND(Reserve_Expenses12[[#This Row],[Prior Annual]]/($F$1*12),2)),0,(ROUND(Reserve_Expenses12[[#This Row],[Prior Annual]]/($F$1*12),2)))</f>
        <v>22.79</v>
      </c>
      <c r="C43" s="128">
        <v>17500</v>
      </c>
      <c r="D43" s="135">
        <v>15615</v>
      </c>
      <c r="E43" s="101">
        <f>IF(ISERROR(ROUND(Reserve_Expenses12[[#This Row],[Current Annual]]/($F$1*12),2)),0,(ROUND(Reserve_Expenses12[[#This Row],[Current Annual]]/($F$1*12),2)))</f>
        <v>36.69</v>
      </c>
      <c r="F43" s="139">
        <v>28181</v>
      </c>
      <c r="G43" s="101">
        <f>SUM(Reserve_Expenses12[[#This Row],[Current Monthly]]-Reserve_Expenses12[[#This Row],[Prior Monthly]])</f>
        <v>13.899999999999999</v>
      </c>
      <c r="J43" s="3"/>
      <c r="K43" s="3"/>
    </row>
    <row r="44" spans="1:11" ht="13" x14ac:dyDescent="0.3">
      <c r="A44" s="109" t="s">
        <v>64</v>
      </c>
      <c r="B44" s="96">
        <f>IF(ISERROR(ROUND(Reserve_Expenses12[[#This Row],[Prior Annual]]/($F$1*12),2)),0,(ROUND(Reserve_Expenses12[[#This Row],[Prior Annual]]/($F$1*12),2)))</f>
        <v>23.44</v>
      </c>
      <c r="C44" s="128">
        <v>18000</v>
      </c>
      <c r="D44" s="134">
        <v>13578</v>
      </c>
      <c r="E44" s="101">
        <f>IF(ISERROR(ROUND(Reserve_Expenses12[[#This Row],[Current Annual]]/($F$1*12),2)),0,(ROUND(Reserve_Expenses12[[#This Row],[Current Annual]]/($F$1*12),2)))</f>
        <v>29.19</v>
      </c>
      <c r="F44" s="139">
        <v>22421</v>
      </c>
      <c r="G44" s="101">
        <f>SUM(Reserve_Expenses12[[#This Row],[Current Monthly]]-Reserve_Expenses12[[#This Row],[Prior Monthly]])</f>
        <v>5.75</v>
      </c>
      <c r="J44" s="3"/>
      <c r="K44" s="3"/>
    </row>
    <row r="45" spans="1:11" ht="13" x14ac:dyDescent="0.3">
      <c r="A45" s="109" t="s">
        <v>65</v>
      </c>
      <c r="B45" s="96">
        <f>IF(ISERROR(ROUND(Reserve_Expenses12[[#This Row],[Prior Annual]]/($F$1*12),2)),0,(ROUND(Reserve_Expenses12[[#This Row],[Prior Annual]]/($F$1*12),2)))</f>
        <v>11.37</v>
      </c>
      <c r="C45" s="128">
        <v>8734</v>
      </c>
      <c r="D45" s="134">
        <v>8498</v>
      </c>
      <c r="E45" s="101">
        <f>IF(ISERROR(ROUND(Reserve_Expenses12[[#This Row],[Current Annual]]/($F$1*12),2)),0,(ROUND(Reserve_Expenses12[[#This Row],[Current Annual]]/($F$1*12),2)))</f>
        <v>11.68</v>
      </c>
      <c r="F45" s="139">
        <v>8969</v>
      </c>
      <c r="G45" s="101">
        <f>SUM(Reserve_Expenses12[[#This Row],[Current Monthly]]-Reserve_Expenses12[[#This Row],[Prior Monthly]])</f>
        <v>0.3100000000000005</v>
      </c>
      <c r="I45" s="92" t="s">
        <v>60</v>
      </c>
      <c r="J45" s="3"/>
      <c r="K45" s="3"/>
    </row>
    <row r="46" spans="1:11" ht="13" x14ac:dyDescent="0.3">
      <c r="A46" s="109" t="s">
        <v>66</v>
      </c>
      <c r="B46" s="96">
        <f>IF(ISERROR(ROUND(Reserve_Expenses12[[#This Row],[Prior Annual]]/($F$1*12),2)),0,(ROUND(Reserve_Expenses12[[#This Row],[Prior Annual]]/($F$1*12),2)))</f>
        <v>5.86</v>
      </c>
      <c r="C46" s="128">
        <v>4500</v>
      </c>
      <c r="D46" s="134">
        <v>4337</v>
      </c>
      <c r="E46" s="101">
        <f>IF(ISERROR(ROUND(Reserve_Expenses12[[#This Row],[Current Annual]]/($F$1*12),2)),0,(ROUND(Reserve_Expenses12[[#This Row],[Current Annual]]/($F$1*12),2)))</f>
        <v>6.07</v>
      </c>
      <c r="F46" s="139">
        <v>4663</v>
      </c>
      <c r="G46" s="101">
        <f>SUM(Reserve_Expenses12[[#This Row],[Current Monthly]]-Reserve_Expenses12[[#This Row],[Prior Monthly]])</f>
        <v>0.20999999999999996</v>
      </c>
      <c r="I46" s="93"/>
      <c r="J46" s="3"/>
      <c r="K46" s="3"/>
    </row>
    <row r="47" spans="1:11" ht="13" x14ac:dyDescent="0.3">
      <c r="A47" s="109" t="s">
        <v>67</v>
      </c>
      <c r="B47" s="96">
        <f>IF(ISERROR(ROUND(Reserve_Expenses12[[#This Row],[Prior Annual]]/($F$1*12),2)),0,(ROUND(Reserve_Expenses12[[#This Row],[Prior Annual]]/($F$1*12),2)))</f>
        <v>2.7</v>
      </c>
      <c r="C47" s="128">
        <v>2072</v>
      </c>
      <c r="D47" s="134">
        <v>1916</v>
      </c>
      <c r="E47" s="101">
        <f>IF(ISERROR(ROUND(Reserve_Expenses12[[#This Row],[Current Annual]]/($F$1*12),2)),0,(ROUND(Reserve_Expenses12[[#This Row],[Current Annual]]/($F$1*12),2)))</f>
        <v>2.9</v>
      </c>
      <c r="F47" s="139">
        <v>2227</v>
      </c>
      <c r="G47" s="101">
        <f>SUM(Reserve_Expenses12[[#This Row],[Current Monthly]]-Reserve_Expenses12[[#This Row],[Prior Monthly]])</f>
        <v>0.19999999999999973</v>
      </c>
      <c r="J47" s="3"/>
      <c r="K47" s="3"/>
    </row>
    <row r="48" spans="1:11" ht="13" x14ac:dyDescent="0.3">
      <c r="A48" s="109" t="s">
        <v>68</v>
      </c>
      <c r="B48" s="96">
        <f>IF(ISERROR(ROUND(Reserve_Expenses12[[#This Row],[Prior Annual]]/($F$1*12),2)),0,(ROUND(Reserve_Expenses12[[#This Row],[Prior Annual]]/($F$1*12),2)))</f>
        <v>3.06</v>
      </c>
      <c r="C48" s="128">
        <v>2350</v>
      </c>
      <c r="D48" s="135">
        <v>2350</v>
      </c>
      <c r="E48" s="101">
        <f>IF(ISERROR(ROUND(Reserve_Expenses12[[#This Row],[Current Annual]]/($F$1*12),2)),0,(ROUND(Reserve_Expenses12[[#This Row],[Current Annual]]/($F$1*12),2)))</f>
        <v>8.4700000000000006</v>
      </c>
      <c r="F48" s="139">
        <v>6505</v>
      </c>
      <c r="G48" s="101">
        <f>SUM(Reserve_Expenses12[[#This Row],[Current Monthly]]-Reserve_Expenses12[[#This Row],[Prior Monthly]])</f>
        <v>5.41</v>
      </c>
      <c r="J48" s="3"/>
      <c r="K48" s="3"/>
    </row>
    <row r="49" spans="1:11" ht="13" x14ac:dyDescent="0.3">
      <c r="A49" s="107">
        <f>'RESERVE ANALYSIS Example'!A13</f>
        <v>0</v>
      </c>
      <c r="B49" s="96">
        <f>IF(ISERROR(ROUND(Reserve_Expenses12[[#This Row],[Prior Annual]]/($F$1*12),2)),0,(ROUND(Reserve_Expenses12[[#This Row],[Prior Annual]]/($F$1*12),2)))</f>
        <v>0</v>
      </c>
      <c r="C49" s="128"/>
      <c r="D49" s="135"/>
      <c r="E49" s="101">
        <f>IF(ISERROR(ROUND(Reserve_Expenses12[[#This Row],[Current Annual]]/($F$1*12),2)),0,(ROUND(Reserve_Expenses12[[#This Row],[Current Annual]]/($F$1*12),2)))</f>
        <v>0</v>
      </c>
      <c r="F49" s="139"/>
      <c r="G49" s="101">
        <f>SUM(Reserve_Expenses12[[#This Row],[Current Monthly]]-Reserve_Expenses12[[#This Row],[Prior Monthly]])</f>
        <v>0</v>
      </c>
      <c r="J49" s="3"/>
      <c r="K49" s="3"/>
    </row>
    <row r="50" spans="1:11" ht="13" x14ac:dyDescent="0.3">
      <c r="A50" s="107">
        <f>'RESERVE ANALYSIS Example'!A14</f>
        <v>0</v>
      </c>
      <c r="B50" s="96">
        <f>IF(ISERROR(ROUND(Reserve_Expenses12[[#This Row],[Prior Annual]]/($F$1*12),2)),0,(ROUND(Reserve_Expenses12[[#This Row],[Prior Annual]]/($F$1*12),2)))</f>
        <v>0</v>
      </c>
      <c r="C50" s="128"/>
      <c r="D50" s="135"/>
      <c r="E50" s="101">
        <f>IF(ISERROR(ROUND(Reserve_Expenses12[[#This Row],[Current Annual]]/($F$1*12),2)),0,(ROUND(Reserve_Expenses12[[#This Row],[Current Annual]]/($F$1*12),2)))</f>
        <v>0</v>
      </c>
      <c r="F50" s="139"/>
      <c r="G50" s="101">
        <f>SUM(Reserve_Expenses12[[#This Row],[Current Monthly]]-Reserve_Expenses12[[#This Row],[Prior Monthly]])</f>
        <v>0</v>
      </c>
      <c r="J50" s="3"/>
      <c r="K50" s="3"/>
    </row>
    <row r="51" spans="1:11" ht="13" x14ac:dyDescent="0.3">
      <c r="A51" s="107">
        <f>'RESERVE ANALYSIS Example'!A15</f>
        <v>0</v>
      </c>
      <c r="B51" s="96">
        <f>IF(ISERROR(ROUND(Reserve_Expenses12[[#This Row],[Prior Annual]]/($F$1*12),2)),0,(ROUND(Reserve_Expenses12[[#This Row],[Prior Annual]]/($F$1*12),2)))</f>
        <v>0</v>
      </c>
      <c r="C51" s="128"/>
      <c r="D51" s="135"/>
      <c r="E51" s="101">
        <f>IF(ISERROR(ROUND(Reserve_Expenses12[[#This Row],[Current Annual]]/($F$1*12),2)),0,(ROUND(Reserve_Expenses12[[#This Row],[Current Annual]]/($F$1*12),2)))</f>
        <v>0</v>
      </c>
      <c r="F51" s="139"/>
      <c r="G51" s="101">
        <f>SUM(Reserve_Expenses12[[#This Row],[Current Monthly]]-Reserve_Expenses12[[#This Row],[Prior Monthly]])</f>
        <v>0</v>
      </c>
      <c r="J51" s="3"/>
      <c r="K51" s="3"/>
    </row>
    <row r="52" spans="1:11" ht="13" x14ac:dyDescent="0.3">
      <c r="A52" s="107">
        <f>'RESERVE ANALYSIS Example'!A16</f>
        <v>0</v>
      </c>
      <c r="B52" s="96">
        <f>IF(ISERROR(ROUND(Reserve_Expenses12[[#This Row],[Prior Annual]]/($F$1*12),2)),0,(ROUND(Reserve_Expenses12[[#This Row],[Prior Annual]]/($F$1*12),2)))</f>
        <v>0</v>
      </c>
      <c r="C52" s="128"/>
      <c r="D52" s="135"/>
      <c r="E52" s="101">
        <f>IF(ISERROR(ROUND(Reserve_Expenses12[[#This Row],[Current Annual]]/($F$1*12),2)),0,(ROUND(Reserve_Expenses12[[#This Row],[Current Annual]]/($F$1*12),2)))</f>
        <v>0</v>
      </c>
      <c r="F52" s="139"/>
      <c r="G52" s="101">
        <f>SUM(Reserve_Expenses12[[#This Row],[Current Monthly]]-Reserve_Expenses12[[#This Row],[Prior Monthly]])</f>
        <v>0</v>
      </c>
      <c r="J52" s="3"/>
      <c r="K52" s="3"/>
    </row>
    <row r="53" spans="1:11" ht="13" x14ac:dyDescent="0.3">
      <c r="A53" s="107">
        <f>'RESERVE ANALYSIS Example'!A17</f>
        <v>0</v>
      </c>
      <c r="B53" s="96">
        <f>IF(ISERROR(ROUND(Reserve_Expenses12[[#This Row],[Prior Annual]]/($F$1*12),2)),0,(ROUND(Reserve_Expenses12[[#This Row],[Prior Annual]]/($F$1*12),2)))</f>
        <v>0</v>
      </c>
      <c r="C53" s="128"/>
      <c r="D53" s="135"/>
      <c r="E53" s="101">
        <f>IF(ISERROR(ROUND(Reserve_Expenses12[[#This Row],[Current Annual]]/($F$1*12),2)),0,(ROUND(Reserve_Expenses12[[#This Row],[Current Annual]]/($F$1*12),2)))</f>
        <v>0</v>
      </c>
      <c r="F53" s="139"/>
      <c r="G53" s="101">
        <f>SUM(Reserve_Expenses12[[#This Row],[Current Monthly]]-Reserve_Expenses12[[#This Row],[Prior Monthly]])</f>
        <v>0</v>
      </c>
      <c r="J53" s="3"/>
      <c r="K53" s="3"/>
    </row>
    <row r="54" spans="1:11" ht="13" x14ac:dyDescent="0.3">
      <c r="A54" s="107">
        <f>'RESERVE ANALYSIS Example'!A18</f>
        <v>0</v>
      </c>
      <c r="B54" s="96">
        <f>IF(ISERROR(ROUND(Reserve_Expenses12[[#This Row],[Prior Annual]]/($F$1*12),2)),0,(ROUND(Reserve_Expenses12[[#This Row],[Prior Annual]]/($F$1*12),2)))</f>
        <v>0</v>
      </c>
      <c r="C54" s="128"/>
      <c r="D54" s="135"/>
      <c r="E54" s="101">
        <f>IF(ISERROR(ROUND(Reserve_Expenses12[[#This Row],[Current Annual]]/($F$1*12),2)),0,(ROUND(Reserve_Expenses12[[#This Row],[Current Annual]]/($F$1*12),2)))</f>
        <v>0</v>
      </c>
      <c r="F54" s="139"/>
      <c r="G54" s="101">
        <f>SUM(Reserve_Expenses12[[#This Row],[Current Monthly]]-Reserve_Expenses12[[#This Row],[Prior Monthly]])</f>
        <v>0</v>
      </c>
      <c r="J54" s="3"/>
      <c r="K54" s="3"/>
    </row>
    <row r="55" spans="1:11" ht="13" x14ac:dyDescent="0.3">
      <c r="A55" s="107">
        <f>'RESERVE ANALYSIS Example'!A19</f>
        <v>0</v>
      </c>
      <c r="B55" s="96">
        <f>IF(ISERROR(ROUND(Reserve_Expenses12[[#This Row],[Prior Annual]]/($F$1*12),2)),0,(ROUND(Reserve_Expenses12[[#This Row],[Prior Annual]]/($F$1*12),2)))</f>
        <v>0</v>
      </c>
      <c r="C55" s="128"/>
      <c r="D55" s="135"/>
      <c r="E55" s="101">
        <f>IF(ISERROR(ROUND(Reserve_Expenses12[[#This Row],[Current Annual]]/($F$1*12),2)),0,(ROUND(Reserve_Expenses12[[#This Row],[Current Annual]]/($F$1*12),2)))</f>
        <v>0</v>
      </c>
      <c r="F55" s="139"/>
      <c r="G55" s="101">
        <f>SUM(Reserve_Expenses12[[#This Row],[Current Monthly]]-Reserve_Expenses12[[#This Row],[Prior Monthly]])</f>
        <v>0</v>
      </c>
      <c r="J55" s="3"/>
      <c r="K55" s="3"/>
    </row>
    <row r="56" spans="1:11" ht="13" x14ac:dyDescent="0.3">
      <c r="A56" s="107">
        <f>'RESERVE ANALYSIS Example'!A20</f>
        <v>0</v>
      </c>
      <c r="B56" s="96">
        <f>IF(ISERROR(ROUND(Reserve_Expenses12[[#This Row],[Prior Annual]]/($F$1*12),2)),0,(ROUND(Reserve_Expenses12[[#This Row],[Prior Annual]]/($F$1*12),2)))</f>
        <v>0</v>
      </c>
      <c r="C56" s="128"/>
      <c r="D56" s="135"/>
      <c r="E56" s="101">
        <f>IF(ISERROR(ROUND(Reserve_Expenses12[[#This Row],[Current Annual]]/($F$1*12),2)),0,(ROUND(Reserve_Expenses12[[#This Row],[Current Annual]]/($F$1*12),2)))</f>
        <v>0</v>
      </c>
      <c r="F56" s="139"/>
      <c r="G56" s="101">
        <f>SUM(Reserve_Expenses12[[#This Row],[Current Monthly]]-Reserve_Expenses12[[#This Row],[Prior Monthly]])</f>
        <v>0</v>
      </c>
      <c r="J56" s="3"/>
      <c r="K56" s="3"/>
    </row>
    <row r="57" spans="1:11" ht="13" x14ac:dyDescent="0.3">
      <c r="A57" s="129" t="s">
        <v>5</v>
      </c>
      <c r="B57" s="140">
        <f>SUBTOTAL(109,Reserve_Expenses12[Prior Monthly])</f>
        <v>71.820000000000007</v>
      </c>
      <c r="C57" s="140">
        <f>SUBTOTAL(109,Reserve_Expenses12[Prior Annual])</f>
        <v>55156</v>
      </c>
      <c r="D57" s="140">
        <f>SUBTOTAL(109,Reserve_Expenses12[Prior Actual])</f>
        <v>48294</v>
      </c>
      <c r="E57" s="141">
        <f>SUBTOTAL(109,Reserve_Expenses12[Current Monthly])</f>
        <v>95</v>
      </c>
      <c r="F57" s="141">
        <f>SUBTOTAL(109,Reserve_Expenses12[Current Annual])</f>
        <v>72966</v>
      </c>
      <c r="G57" s="141">
        <f>SUBTOTAL(109,Reserve_Expenses12[Monthly Change])</f>
        <v>23.18</v>
      </c>
    </row>
    <row r="58" spans="1:11" s="9" customFormat="1" ht="13" x14ac:dyDescent="0.3">
      <c r="A58" s="142"/>
      <c r="B58" s="143"/>
      <c r="C58" s="144"/>
      <c r="D58" s="144"/>
      <c r="E58" s="144"/>
      <c r="F58" s="144"/>
      <c r="G58" s="144"/>
    </row>
    <row r="59" spans="1:11" s="9" customFormat="1" ht="13" x14ac:dyDescent="0.3">
      <c r="A59" s="145" t="s">
        <v>2</v>
      </c>
      <c r="B59" s="146">
        <f>Operation_Expenses11[[#Totals],[Prior Monthly]]+Reserve_Expenses12[[#Totals],[Prior Monthly]]</f>
        <v>275</v>
      </c>
      <c r="C59" s="146">
        <f>Operation_Expenses11[[#Totals],[Prior Annual]]+Reserve_Expenses12[[#Totals],[Prior Annual]]</f>
        <v>211189</v>
      </c>
      <c r="D59" s="146">
        <f>Operation_Expenses11[[#Totals],[Prior Actual]]+Reserve_Expenses12[[#Totals],[Prior Actual]]</f>
        <v>229468</v>
      </c>
      <c r="E59" s="147">
        <f>Operation_Expenses11[[#Totals],[Current Monthly]]+Reserve_Expenses12[[#Totals],[Current Monthly]]</f>
        <v>298.17999999999995</v>
      </c>
      <c r="F59" s="147">
        <f>Operation_Expenses11[[#Totals],[Current Annual]]+Reserve_Expenses12[[#Totals],[Current Annual]]</f>
        <v>239166</v>
      </c>
      <c r="G59" s="147">
        <f>Operation_Expenses11[[#Totals],[Monthly Change]]+Reserve_Expenses12[[#Totals],[Monthly Change]]</f>
        <v>36.410000000000004</v>
      </c>
    </row>
    <row r="60" spans="1:11" s="9" customFormat="1" ht="13" hidden="1" x14ac:dyDescent="0.3">
      <c r="A60" s="148"/>
      <c r="B60" s="143">
        <f>SUM(B42:B58)</f>
        <v>143.64000000000001</v>
      </c>
      <c r="C60" s="143">
        <f>SUM(C42:C58)</f>
        <v>110312</v>
      </c>
      <c r="D60" s="144">
        <f>SUM(D42:D56)</f>
        <v>48294</v>
      </c>
      <c r="E60" s="149">
        <f>SUM(E42:E58)</f>
        <v>190</v>
      </c>
      <c r="F60" s="149">
        <f>SUM(F42:F58)</f>
        <v>145932</v>
      </c>
      <c r="G60" s="149">
        <f>SUM(G42:G58)</f>
        <v>46.36</v>
      </c>
    </row>
    <row r="61" spans="1:11" s="9" customFormat="1" ht="13" hidden="1" x14ac:dyDescent="0.3">
      <c r="A61" s="150"/>
      <c r="B61" s="151"/>
      <c r="C61" s="151"/>
      <c r="D61" s="151"/>
      <c r="E61" s="152"/>
      <c r="F61" s="153" t="s">
        <v>0</v>
      </c>
      <c r="G61" s="152"/>
    </row>
    <row r="62" spans="1:11" s="9" customFormat="1" ht="13" hidden="1" x14ac:dyDescent="0.3">
      <c r="A62" s="154"/>
      <c r="B62" s="155">
        <f t="shared" ref="B62:G62" si="0">B60+B39</f>
        <v>143.64000000000001</v>
      </c>
      <c r="C62" s="155">
        <f t="shared" si="0"/>
        <v>110312</v>
      </c>
      <c r="D62" s="155">
        <f t="shared" si="0"/>
        <v>48294</v>
      </c>
      <c r="E62" s="156">
        <f t="shared" si="0"/>
        <v>190</v>
      </c>
      <c r="F62" s="156">
        <f t="shared" si="0"/>
        <v>145932</v>
      </c>
      <c r="G62" s="156">
        <f t="shared" si="0"/>
        <v>46.36</v>
      </c>
      <c r="J62" s="3"/>
      <c r="K62" s="3"/>
    </row>
    <row r="63" spans="1:11" s="9" customFormat="1" ht="13.5" hidden="1" thickBot="1" x14ac:dyDescent="0.35">
      <c r="A63" s="157"/>
      <c r="B63" s="158"/>
      <c r="C63" s="158"/>
      <c r="D63" s="159"/>
      <c r="E63" s="160"/>
      <c r="F63" s="160"/>
      <c r="G63" s="161"/>
    </row>
    <row r="64" spans="1:11" s="9" customFormat="1" ht="13" hidden="1" x14ac:dyDescent="0.3">
      <c r="A64" s="162"/>
      <c r="B64" s="151"/>
      <c r="C64" s="151"/>
      <c r="D64" s="163"/>
      <c r="E64" s="164"/>
      <c r="F64" s="164"/>
      <c r="G64" s="152"/>
    </row>
    <row r="65" spans="1:8" s="9" customFormat="1" ht="13" x14ac:dyDescent="0.3">
      <c r="A65" s="165"/>
      <c r="B65" s="151"/>
      <c r="C65" s="151"/>
      <c r="D65" s="163"/>
      <c r="E65" s="164"/>
      <c r="F65" s="164"/>
      <c r="G65" s="152"/>
    </row>
    <row r="66" spans="1:8" s="9" customFormat="1" ht="13" x14ac:dyDescent="0.3">
      <c r="A66" s="166" t="s">
        <v>3</v>
      </c>
      <c r="B66" s="167">
        <f>Budget_Revenue10[[#Totals],[Prior Monthly]]-B59</f>
        <v>0</v>
      </c>
      <c r="C66" s="167">
        <f>Budget_Revenue10[[#Totals],[Prior Annual]]-C59</f>
        <v>11</v>
      </c>
      <c r="D66" s="167">
        <f>Budget_Revenue10[[#Totals],[Prior Actual]]-D59</f>
        <v>-18268</v>
      </c>
      <c r="E66" s="168">
        <f>Budget_Revenue10[[#Totals],[Current Monthly]]-E59</f>
        <v>16.82000000000005</v>
      </c>
      <c r="F66" s="168">
        <f>Budget_Revenue10[[#Totals],[Current Annual]]-F59</f>
        <v>2754</v>
      </c>
      <c r="G66" s="168">
        <f>Budget_Revenue10[[#Totals],[Monthly  Change]]-G59</f>
        <v>3.5899999999999963</v>
      </c>
      <c r="H66" s="16"/>
    </row>
    <row r="67" spans="1:8" s="9" customFormat="1" ht="13" x14ac:dyDescent="0.3">
      <c r="A67" s="1"/>
      <c r="B67" s="83"/>
      <c r="C67" s="83"/>
      <c r="D67" s="83"/>
      <c r="E67" s="84"/>
      <c r="F67" s="84"/>
      <c r="G67" s="84"/>
      <c r="H67" s="19"/>
    </row>
    <row r="68" spans="1:8" s="9" customFormat="1" ht="13" x14ac:dyDescent="0.3">
      <c r="A68" s="1"/>
      <c r="B68" s="30"/>
      <c r="C68" s="30"/>
      <c r="D68" s="30"/>
      <c r="E68" s="15"/>
      <c r="F68" s="15"/>
      <c r="G68" s="15"/>
      <c r="H68" s="21"/>
    </row>
    <row r="69" spans="1:8" s="9" customFormat="1" ht="13" x14ac:dyDescent="0.3">
      <c r="D69" s="17"/>
      <c r="E69" s="18"/>
      <c r="F69" s="19"/>
      <c r="H69" s="21"/>
    </row>
    <row r="70" spans="1:8" ht="13" x14ac:dyDescent="0.3">
      <c r="A70" s="1"/>
      <c r="B70" s="16"/>
      <c r="C70" s="16"/>
      <c r="D70" s="20"/>
      <c r="E70" s="21"/>
      <c r="F70" s="21"/>
      <c r="G70" s="16"/>
    </row>
    <row r="71" spans="1:8" ht="13" x14ac:dyDescent="0.3">
      <c r="A71" s="1"/>
      <c r="B71" s="16"/>
      <c r="C71" s="16"/>
      <c r="D71" s="20"/>
      <c r="E71" s="23"/>
      <c r="F71" s="21"/>
      <c r="G71" s="16"/>
    </row>
    <row r="72" spans="1:8" ht="13" x14ac:dyDescent="0.3">
      <c r="A72" s="9"/>
      <c r="B72" s="17"/>
      <c r="C72" s="17"/>
      <c r="G72" s="19"/>
    </row>
    <row r="73" spans="1:8" ht="13" x14ac:dyDescent="0.3">
      <c r="A73" s="9"/>
      <c r="B73" s="20"/>
      <c r="C73" s="20"/>
      <c r="G73" s="21"/>
    </row>
    <row r="74" spans="1:8" ht="13" x14ac:dyDescent="0.3">
      <c r="A74" s="9"/>
      <c r="B74" s="20"/>
      <c r="C74" s="22"/>
      <c r="G74" s="24"/>
    </row>
  </sheetData>
  <sheetProtection algorithmName="SHA-512" hashValue="UThu0+WXxfW9rZXAJAGrZm4PFm0QJesML9VstnT3HCKFAU+8kZ1wIt/c5dewgw1m88uiaXTyT7V11xAffKrCNA==" saltValue="q7tLMlVFwdS3AutRNtC42w==" spinCount="100000" sheet="1" objects="1" scenarios="1" selectLockedCells="1" selectUnlockedCells="1"/>
  <mergeCells count="1">
    <mergeCell ref="B1:D1"/>
  </mergeCells>
  <printOptions horizontalCentered="1"/>
  <pageMargins left="0.25" right="0.25" top="0.75" bottom="0.75" header="0.3" footer="0.3"/>
  <pageSetup scale="66" orientation="portrait" r:id="rId1"/>
  <headerFooter>
    <oddHeader>&amp;C&amp;"Arial,Bold"&amp;14Budget Analysis
Version: 1.10</oddHeader>
  </headerFooter>
  <drawing r:id="rId2"/>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0"/>
  <sheetViews>
    <sheetView tabSelected="1" view="pageLayout" zoomScaleNormal="91" workbookViewId="0">
      <selection activeCell="I7" sqref="I7"/>
    </sheetView>
  </sheetViews>
  <sheetFormatPr defaultColWidth="7.453125" defaultRowHeight="12.5" x14ac:dyDescent="0.25"/>
  <cols>
    <col min="1" max="1" width="23.36328125" style="40" customWidth="1"/>
    <col min="2" max="2" width="7.54296875" style="40" customWidth="1"/>
    <col min="3" max="3" width="9.36328125" style="40" customWidth="1"/>
    <col min="4" max="4" width="9.08984375" style="40" customWidth="1"/>
    <col min="5" max="5" width="12.26953125" style="40" customWidth="1"/>
    <col min="6" max="6" width="11.90625" style="279" customWidth="1"/>
    <col min="7" max="8" width="12" style="279" customWidth="1"/>
    <col min="9" max="9" width="12.6328125" style="279" customWidth="1"/>
    <col min="10" max="10" width="13" style="279" customWidth="1"/>
    <col min="11" max="11" width="12.81640625" style="279" customWidth="1"/>
    <col min="12" max="12" width="11.1796875" style="279" customWidth="1"/>
    <col min="13" max="13" width="9.1796875" style="279" customWidth="1"/>
    <col min="14" max="14" width="7.453125" style="40"/>
    <col min="15" max="15" width="0" style="40" hidden="1" customWidth="1"/>
    <col min="16" max="16384" width="7.453125" style="40"/>
  </cols>
  <sheetData>
    <row r="1" spans="1:13" ht="13.5" x14ac:dyDescent="0.35">
      <c r="A1" s="318" t="s">
        <v>8</v>
      </c>
      <c r="B1" s="336"/>
      <c r="C1" s="336"/>
      <c r="D1" s="336"/>
      <c r="E1" s="336"/>
      <c r="F1" s="274" t="s">
        <v>9</v>
      </c>
      <c r="G1" s="38"/>
      <c r="H1" s="319"/>
      <c r="I1" s="280"/>
      <c r="J1" s="337" t="s">
        <v>4</v>
      </c>
      <c r="K1" s="337"/>
      <c r="L1" s="44"/>
      <c r="M1" s="275"/>
    </row>
    <row r="2" spans="1:13" ht="16" x14ac:dyDescent="0.4">
      <c r="A2" s="318" t="s">
        <v>10</v>
      </c>
      <c r="B2" s="41"/>
      <c r="C2" s="69"/>
      <c r="D2" s="69"/>
      <c r="E2" s="69"/>
      <c r="F2" s="275"/>
      <c r="G2" s="70"/>
      <c r="H2" s="70"/>
      <c r="I2" s="337" t="s">
        <v>49</v>
      </c>
      <c r="J2" s="339"/>
      <c r="K2" s="44"/>
      <c r="L2" s="275"/>
      <c r="M2" s="275"/>
    </row>
    <row r="3" spans="1:13" ht="13.5" x14ac:dyDescent="0.35">
      <c r="A3" s="344" t="s">
        <v>31</v>
      </c>
      <c r="B3" s="344"/>
      <c r="C3" s="344"/>
      <c r="D3" s="45" t="str">
        <f>IF(ISERROR(Reserve_Analysis8[[#Totals],[Initial Annual  Payment Amount]]/12/$B$2),"",Reserve_Analysis8[[#Totals],[Initial Annual  Payment Amount]]/12/$B$2)</f>
        <v/>
      </c>
      <c r="E3" s="71"/>
      <c r="F3" s="344" t="s">
        <v>32</v>
      </c>
      <c r="G3" s="344"/>
      <c r="H3" s="344"/>
      <c r="I3" s="344"/>
      <c r="J3" s="344"/>
      <c r="K3" s="45" t="str">
        <f>IF(ISERROR(Reserve_Analysis8[[#Totals],[Current Annual Replac. Cost]]/12/$B$2),"",Reserve_Analysis8[[#Totals],[Current Annual Replac. Cost]]/12/$B$2)</f>
        <v/>
      </c>
      <c r="L3" s="275"/>
      <c r="M3" s="275"/>
    </row>
    <row r="4" spans="1:13" ht="13.5" x14ac:dyDescent="0.35">
      <c r="A4" s="318"/>
      <c r="B4" s="318"/>
      <c r="C4" s="318"/>
      <c r="D4" s="301"/>
      <c r="E4" s="71"/>
      <c r="F4" s="318"/>
      <c r="G4" s="318"/>
      <c r="H4" s="318"/>
      <c r="I4" s="318"/>
      <c r="J4" s="318"/>
      <c r="K4" s="301"/>
      <c r="L4" s="275"/>
      <c r="M4" s="275"/>
    </row>
    <row r="5" spans="1:13" ht="13.5" x14ac:dyDescent="0.35">
      <c r="A5" s="72"/>
      <c r="B5" s="302" t="s">
        <v>104</v>
      </c>
      <c r="C5" s="302" t="s">
        <v>104</v>
      </c>
      <c r="D5" s="306" t="s">
        <v>105</v>
      </c>
      <c r="E5" s="303" t="s">
        <v>104</v>
      </c>
      <c r="F5" s="307" t="s">
        <v>105</v>
      </c>
      <c r="G5" s="308" t="s">
        <v>105</v>
      </c>
      <c r="H5" s="305" t="s">
        <v>104</v>
      </c>
      <c r="I5" s="304" t="s">
        <v>104</v>
      </c>
      <c r="J5" s="309" t="s">
        <v>105</v>
      </c>
      <c r="K5" s="310" t="s">
        <v>105</v>
      </c>
      <c r="L5" s="311" t="s">
        <v>105</v>
      </c>
      <c r="M5" s="312" t="s">
        <v>105</v>
      </c>
    </row>
    <row r="6" spans="1:13" ht="76.25" customHeight="1" x14ac:dyDescent="0.35">
      <c r="A6" s="50" t="s">
        <v>33</v>
      </c>
      <c r="B6" s="350" t="s">
        <v>12</v>
      </c>
      <c r="C6" s="349" t="s">
        <v>100</v>
      </c>
      <c r="D6" s="349" t="s">
        <v>35</v>
      </c>
      <c r="E6" s="349" t="s">
        <v>94</v>
      </c>
      <c r="F6" s="349" t="s">
        <v>95</v>
      </c>
      <c r="G6" s="349" t="s">
        <v>97</v>
      </c>
      <c r="H6" s="349" t="s">
        <v>98</v>
      </c>
      <c r="I6" s="350" t="s">
        <v>99</v>
      </c>
      <c r="J6" s="349" t="s">
        <v>102</v>
      </c>
      <c r="K6" s="349" t="s">
        <v>101</v>
      </c>
      <c r="L6" s="350" t="s">
        <v>103</v>
      </c>
      <c r="M6" s="351" t="s">
        <v>96</v>
      </c>
    </row>
    <row r="7" spans="1:13" ht="13.5" x14ac:dyDescent="0.35">
      <c r="A7" s="74" t="s">
        <v>42</v>
      </c>
      <c r="B7" s="55"/>
      <c r="C7" s="55"/>
      <c r="D7" s="75">
        <f>IFERROR(Reserve_Analysis8[[#This Row],[Useful Life]]-Reserve_Analysis8[[#This Row],[Yrs. in Use at Fiscal Yr. End]],"")</f>
        <v>0</v>
      </c>
      <c r="E7" s="55"/>
      <c r="F7" s="75" t="str">
        <f>IFERROR(Reserve_Analysis8[[#This Row],[Initial Replac. Cost]]/Reserve_Analysis8[[#This Row],[Useful Life]],"")</f>
        <v/>
      </c>
      <c r="G7" s="75" t="str">
        <f>IFERROR(Reserve_Analysis8[[#This Row],[Yrs. in Use at Fiscal Yr. End]]*Reserve_Analysis8[[#This Row],[Initial Annual  Payment Amount]],"")</f>
        <v/>
      </c>
      <c r="H7" s="55"/>
      <c r="I7" s="55"/>
      <c r="J7" s="75" t="str">
        <f>IFERROR((Reserve_Analysis8[[#This Row],[Budgeted Reserves This Fiscal Year]]+Reserve_Analysis8[[#This Row],[Actual Reserves in Bank at Beginning of Fiscal Yr]])-Reserve_Analysis8[[#This Row],[Required Reserves End of Fiscal Yr]],"")</f>
        <v/>
      </c>
      <c r="K7" s="283" t="str">
        <f>IFERROR((Reserve_Analysis8[[#This Row],[Budgeted Reserves This Fiscal Year]]+Reserve_Analysis8[[#This Row],[Actual Reserves in Bank at Beginning of Fiscal Yr]])/Reserve_Analysis8[[#This Row],[Required Reserves End of Fiscal Yr]],"")</f>
        <v/>
      </c>
      <c r="L7"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7"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8" spans="1:13" ht="13.5" x14ac:dyDescent="0.35">
      <c r="A8" s="313"/>
      <c r="B8" s="55"/>
      <c r="C8" s="55"/>
      <c r="D8" s="75">
        <f>IFERROR(Reserve_Analysis8[[#This Row],[Useful Life]]-Reserve_Analysis8[[#This Row],[Yrs. in Use at Fiscal Yr. End]],"")</f>
        <v>0</v>
      </c>
      <c r="E8" s="55"/>
      <c r="F8" s="276" t="str">
        <f>IFERROR(Reserve_Analysis8[[#This Row],[Initial Replac. Cost]]/Reserve_Analysis8[[#This Row],[Useful Life]],"")</f>
        <v/>
      </c>
      <c r="G8" s="276" t="str">
        <f>IFERROR(Reserve_Analysis8[[#This Row],[Yrs. in Use at Fiscal Yr. End]]*Reserve_Analysis8[[#This Row],[Initial Annual  Payment Amount]],"")</f>
        <v/>
      </c>
      <c r="H8" s="297"/>
      <c r="I8" s="55"/>
      <c r="J8" s="75" t="str">
        <f>IFERROR((Reserve_Analysis8[[#This Row],[Budgeted Reserves This Fiscal Year]]+Reserve_Analysis8[[#This Row],[Actual Reserves in Bank at Beginning of Fiscal Yr]])-Reserve_Analysis8[[#This Row],[Required Reserves End of Fiscal Yr]],"")</f>
        <v/>
      </c>
      <c r="K8" s="283" t="str">
        <f>IFERROR((Reserve_Analysis8[[#This Row],[Budgeted Reserves This Fiscal Year]]+Reserve_Analysis8[[#This Row],[Actual Reserves in Bank at Beginning of Fiscal Yr]])/Reserve_Analysis8[[#This Row],[Required Reserves End of Fiscal Yr]],"")</f>
        <v/>
      </c>
      <c r="L8"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8"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9" spans="1:13" ht="13.5" x14ac:dyDescent="0.35">
      <c r="A9" s="313"/>
      <c r="B9" s="55"/>
      <c r="C9" s="55"/>
      <c r="D9" s="75">
        <f>IFERROR(Reserve_Analysis8[[#This Row],[Useful Life]]-Reserve_Analysis8[[#This Row],[Yrs. in Use at Fiscal Yr. End]],"")</f>
        <v>0</v>
      </c>
      <c r="E9" s="55"/>
      <c r="F9" s="276" t="str">
        <f>IFERROR(Reserve_Analysis8[[#This Row],[Initial Replac. Cost]]/Reserve_Analysis8[[#This Row],[Useful Life]],"")</f>
        <v/>
      </c>
      <c r="G9" s="276" t="str">
        <f>IFERROR(Reserve_Analysis8[[#This Row],[Yrs. in Use at Fiscal Yr. End]]*Reserve_Analysis8[[#This Row],[Initial Annual  Payment Amount]],"")</f>
        <v/>
      </c>
      <c r="H9" s="297"/>
      <c r="I9" s="55"/>
      <c r="J9" s="75" t="str">
        <f>IFERROR((Reserve_Analysis8[[#This Row],[Budgeted Reserves This Fiscal Year]]+Reserve_Analysis8[[#This Row],[Actual Reserves in Bank at Beginning of Fiscal Yr]])-Reserve_Analysis8[[#This Row],[Required Reserves End of Fiscal Yr]],"")</f>
        <v/>
      </c>
      <c r="K9" s="283" t="str">
        <f>IFERROR((Reserve_Analysis8[[#This Row],[Budgeted Reserves This Fiscal Year]]+Reserve_Analysis8[[#This Row],[Actual Reserves in Bank at Beginning of Fiscal Yr]])/Reserve_Analysis8[[#This Row],[Required Reserves End of Fiscal Yr]],"")</f>
        <v/>
      </c>
      <c r="L9"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9"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0" spans="1:13" ht="13.5" x14ac:dyDescent="0.35">
      <c r="A10" s="313"/>
      <c r="B10" s="55"/>
      <c r="C10" s="55"/>
      <c r="D10" s="75">
        <f>IFERROR(Reserve_Analysis8[[#This Row],[Useful Life]]-Reserve_Analysis8[[#This Row],[Yrs. in Use at Fiscal Yr. End]],"")</f>
        <v>0</v>
      </c>
      <c r="E10" s="55"/>
      <c r="F10" s="276" t="str">
        <f>IFERROR(Reserve_Analysis8[[#This Row],[Initial Replac. Cost]]/Reserve_Analysis8[[#This Row],[Useful Life]],"")</f>
        <v/>
      </c>
      <c r="G10" s="276" t="str">
        <f>IFERROR(Reserve_Analysis8[[#This Row],[Yrs. in Use at Fiscal Yr. End]]*Reserve_Analysis8[[#This Row],[Initial Annual  Payment Amount]],"")</f>
        <v/>
      </c>
      <c r="H10" s="297"/>
      <c r="I10" s="55"/>
      <c r="J10" s="75" t="str">
        <f>IFERROR((Reserve_Analysis8[[#This Row],[Budgeted Reserves This Fiscal Year]]+Reserve_Analysis8[[#This Row],[Actual Reserves in Bank at Beginning of Fiscal Yr]])-Reserve_Analysis8[[#This Row],[Required Reserves End of Fiscal Yr]],"")</f>
        <v/>
      </c>
      <c r="K10" s="283" t="str">
        <f>IFERROR((Reserve_Analysis8[[#This Row],[Budgeted Reserves This Fiscal Year]]+Reserve_Analysis8[[#This Row],[Actual Reserves in Bank at Beginning of Fiscal Yr]])/Reserve_Analysis8[[#This Row],[Required Reserves End of Fiscal Yr]],"")</f>
        <v/>
      </c>
      <c r="L10"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0"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1" spans="1:13" ht="13.5" x14ac:dyDescent="0.35">
      <c r="A11" s="313"/>
      <c r="B11" s="55"/>
      <c r="C11" s="55"/>
      <c r="D11" s="75">
        <f>IFERROR(Reserve_Analysis8[[#This Row],[Useful Life]]-Reserve_Analysis8[[#This Row],[Yrs. in Use at Fiscal Yr. End]],"")</f>
        <v>0</v>
      </c>
      <c r="E11" s="55"/>
      <c r="F11" s="276" t="str">
        <f>IFERROR(Reserve_Analysis8[[#This Row],[Initial Replac. Cost]]/Reserve_Analysis8[[#This Row],[Useful Life]],"")</f>
        <v/>
      </c>
      <c r="G11" s="276" t="str">
        <f>IFERROR(Reserve_Analysis8[[#This Row],[Yrs. in Use at Fiscal Yr. End]]*Reserve_Analysis8[[#This Row],[Initial Annual  Payment Amount]],"")</f>
        <v/>
      </c>
      <c r="H11" s="297"/>
      <c r="I11" s="55"/>
      <c r="J11" s="75" t="str">
        <f>IFERROR((Reserve_Analysis8[[#This Row],[Budgeted Reserves This Fiscal Year]]+Reserve_Analysis8[[#This Row],[Actual Reserves in Bank at Beginning of Fiscal Yr]])-Reserve_Analysis8[[#This Row],[Required Reserves End of Fiscal Yr]],"")</f>
        <v/>
      </c>
      <c r="K11" s="283" t="str">
        <f>IFERROR((Reserve_Analysis8[[#This Row],[Budgeted Reserves This Fiscal Year]]+Reserve_Analysis8[[#This Row],[Actual Reserves in Bank at Beginning of Fiscal Yr]])/Reserve_Analysis8[[#This Row],[Required Reserves End of Fiscal Yr]],"")</f>
        <v/>
      </c>
      <c r="L11"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1"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2" spans="1:13" ht="13.5" x14ac:dyDescent="0.35">
      <c r="A12" s="313"/>
      <c r="B12" s="55"/>
      <c r="C12" s="55"/>
      <c r="D12" s="75">
        <f>IFERROR(Reserve_Analysis8[[#This Row],[Useful Life]]-Reserve_Analysis8[[#This Row],[Yrs. in Use at Fiscal Yr. End]],"")</f>
        <v>0</v>
      </c>
      <c r="E12" s="55"/>
      <c r="F12" s="276" t="str">
        <f>IFERROR(Reserve_Analysis8[[#This Row],[Initial Replac. Cost]]/Reserve_Analysis8[[#This Row],[Useful Life]],"")</f>
        <v/>
      </c>
      <c r="G12" s="276" t="str">
        <f>IFERROR(Reserve_Analysis8[[#This Row],[Yrs. in Use at Fiscal Yr. End]]*Reserve_Analysis8[[#This Row],[Initial Annual  Payment Amount]],"")</f>
        <v/>
      </c>
      <c r="H12" s="297"/>
      <c r="I12" s="55"/>
      <c r="J12" s="75" t="str">
        <f>IFERROR((Reserve_Analysis8[[#This Row],[Budgeted Reserves This Fiscal Year]]+Reserve_Analysis8[[#This Row],[Actual Reserves in Bank at Beginning of Fiscal Yr]])-Reserve_Analysis8[[#This Row],[Required Reserves End of Fiscal Yr]],"")</f>
        <v/>
      </c>
      <c r="K12" s="283" t="str">
        <f>IFERROR((Reserve_Analysis8[[#This Row],[Budgeted Reserves This Fiscal Year]]+Reserve_Analysis8[[#This Row],[Actual Reserves in Bank at Beginning of Fiscal Yr]])/Reserve_Analysis8[[#This Row],[Required Reserves End of Fiscal Yr]],"")</f>
        <v/>
      </c>
      <c r="L12"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2"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3" spans="1:13" ht="13.5" x14ac:dyDescent="0.35">
      <c r="A13" s="313"/>
      <c r="B13" s="55"/>
      <c r="C13" s="66"/>
      <c r="D13" s="75">
        <f>IFERROR(Reserve_Analysis8[[#This Row],[Useful Life]]-Reserve_Analysis8[[#This Row],[Yrs. in Use at Fiscal Yr. End]],"")</f>
        <v>0</v>
      </c>
      <c r="E13" s="55"/>
      <c r="F13" s="277" t="str">
        <f>IFERROR(Reserve_Analysis8[[#This Row],[Initial Replac. Cost]]/Reserve_Analysis8[[#This Row],[Useful Life]],"")</f>
        <v/>
      </c>
      <c r="G13" s="276" t="str">
        <f>IFERROR(Reserve_Analysis8[[#This Row],[Yrs. in Use at Fiscal Yr. End]]*Reserve_Analysis8[[#This Row],[Initial Annual  Payment Amount]],"")</f>
        <v/>
      </c>
      <c r="H13" s="298"/>
      <c r="I13" s="281"/>
      <c r="J13" s="75" t="str">
        <f>IFERROR((Reserve_Analysis8[[#This Row],[Budgeted Reserves This Fiscal Year]]+Reserve_Analysis8[[#This Row],[Actual Reserves in Bank at Beginning of Fiscal Yr]])-Reserve_Analysis8[[#This Row],[Required Reserves End of Fiscal Yr]],"")</f>
        <v/>
      </c>
      <c r="K13" s="283" t="str">
        <f>IFERROR((Reserve_Analysis8[[#This Row],[Budgeted Reserves This Fiscal Year]]+Reserve_Analysis8[[#This Row],[Actual Reserves in Bank at Beginning of Fiscal Yr]])/Reserve_Analysis8[[#This Row],[Required Reserves End of Fiscal Yr]],"")</f>
        <v/>
      </c>
      <c r="L13"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3"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4" spans="1:13" ht="13.5" x14ac:dyDescent="0.35">
      <c r="A14" s="313"/>
      <c r="B14" s="55"/>
      <c r="C14" s="66"/>
      <c r="D14" s="75">
        <f>IFERROR(Reserve_Analysis8[[#This Row],[Useful Life]]-Reserve_Analysis8[[#This Row],[Yrs. in Use at Fiscal Yr. End]],"")</f>
        <v>0</v>
      </c>
      <c r="E14" s="55"/>
      <c r="F14" s="277" t="str">
        <f>IFERROR(Reserve_Analysis8[[#This Row],[Initial Replac. Cost]]/Reserve_Analysis8[[#This Row],[Useful Life]],"")</f>
        <v/>
      </c>
      <c r="G14" s="276" t="str">
        <f>IFERROR(Reserve_Analysis8[[#This Row],[Yrs. in Use at Fiscal Yr. End]]*Reserve_Analysis8[[#This Row],[Initial Annual  Payment Amount]],"")</f>
        <v/>
      </c>
      <c r="H14" s="298"/>
      <c r="I14" s="281"/>
      <c r="J14" s="75" t="str">
        <f>IFERROR((Reserve_Analysis8[[#This Row],[Budgeted Reserves This Fiscal Year]]+Reserve_Analysis8[[#This Row],[Actual Reserves in Bank at Beginning of Fiscal Yr]])-Reserve_Analysis8[[#This Row],[Required Reserves End of Fiscal Yr]],"")</f>
        <v/>
      </c>
      <c r="K14" s="283" t="str">
        <f>IFERROR((Reserve_Analysis8[[#This Row],[Budgeted Reserves This Fiscal Year]]+Reserve_Analysis8[[#This Row],[Actual Reserves in Bank at Beginning of Fiscal Yr]])/Reserve_Analysis8[[#This Row],[Required Reserves End of Fiscal Yr]],"")</f>
        <v/>
      </c>
      <c r="L14"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4"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5" spans="1:13" ht="13.5" x14ac:dyDescent="0.35">
      <c r="A15" s="313"/>
      <c r="B15" s="55"/>
      <c r="C15" s="66"/>
      <c r="D15" s="75">
        <f>IFERROR(Reserve_Analysis8[[#This Row],[Useful Life]]-Reserve_Analysis8[[#This Row],[Yrs. in Use at Fiscal Yr. End]],"")</f>
        <v>0</v>
      </c>
      <c r="E15" s="55"/>
      <c r="F15" s="277" t="str">
        <f>IFERROR(Reserve_Analysis8[[#This Row],[Initial Replac. Cost]]/Reserve_Analysis8[[#This Row],[Useful Life]],"")</f>
        <v/>
      </c>
      <c r="G15" s="276" t="str">
        <f>IFERROR(Reserve_Analysis8[[#This Row],[Yrs. in Use at Fiscal Yr. End]]*Reserve_Analysis8[[#This Row],[Initial Annual  Payment Amount]],"")</f>
        <v/>
      </c>
      <c r="H15" s="298"/>
      <c r="I15" s="281"/>
      <c r="J15" s="75" t="str">
        <f>IFERROR((Reserve_Analysis8[[#This Row],[Budgeted Reserves This Fiscal Year]]+Reserve_Analysis8[[#This Row],[Actual Reserves in Bank at Beginning of Fiscal Yr]])-Reserve_Analysis8[[#This Row],[Required Reserves End of Fiscal Yr]],"")</f>
        <v/>
      </c>
      <c r="K15" s="283" t="str">
        <f>IFERROR((Reserve_Analysis8[[#This Row],[Budgeted Reserves This Fiscal Year]]+Reserve_Analysis8[[#This Row],[Actual Reserves in Bank at Beginning of Fiscal Yr]])/Reserve_Analysis8[[#This Row],[Required Reserves End of Fiscal Yr]],"")</f>
        <v/>
      </c>
      <c r="L15"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5"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6" spans="1:13" ht="13.5" x14ac:dyDescent="0.35">
      <c r="A16" s="313"/>
      <c r="B16" s="55"/>
      <c r="C16" s="66"/>
      <c r="D16" s="75">
        <f>IFERROR(Reserve_Analysis8[[#This Row],[Useful Life]]-Reserve_Analysis8[[#This Row],[Yrs. in Use at Fiscal Yr. End]],"")</f>
        <v>0</v>
      </c>
      <c r="E16" s="55"/>
      <c r="F16" s="277" t="str">
        <f>IFERROR(Reserve_Analysis8[[#This Row],[Initial Replac. Cost]]/Reserve_Analysis8[[#This Row],[Useful Life]],"")</f>
        <v/>
      </c>
      <c r="G16" s="276" t="str">
        <f>IFERROR(Reserve_Analysis8[[#This Row],[Yrs. in Use at Fiscal Yr. End]]*Reserve_Analysis8[[#This Row],[Initial Annual  Payment Amount]],"")</f>
        <v/>
      </c>
      <c r="H16" s="298"/>
      <c r="I16" s="281"/>
      <c r="J16" s="75" t="str">
        <f>IFERROR((Reserve_Analysis8[[#This Row],[Budgeted Reserves This Fiscal Year]]+Reserve_Analysis8[[#This Row],[Actual Reserves in Bank at Beginning of Fiscal Yr]])-Reserve_Analysis8[[#This Row],[Required Reserves End of Fiscal Yr]],"")</f>
        <v/>
      </c>
      <c r="K16" s="283" t="str">
        <f>IFERROR((Reserve_Analysis8[[#This Row],[Budgeted Reserves This Fiscal Year]]+Reserve_Analysis8[[#This Row],[Actual Reserves in Bank at Beginning of Fiscal Yr]])/Reserve_Analysis8[[#This Row],[Required Reserves End of Fiscal Yr]],"")</f>
        <v/>
      </c>
      <c r="L16"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6"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7" spans="1:13" ht="13.5" x14ac:dyDescent="0.35">
      <c r="A17" s="313"/>
      <c r="B17" s="55"/>
      <c r="C17" s="66"/>
      <c r="D17" s="75">
        <f>IFERROR(Reserve_Analysis8[[#This Row],[Useful Life]]-Reserve_Analysis8[[#This Row],[Yrs. in Use at Fiscal Yr. End]],"")</f>
        <v>0</v>
      </c>
      <c r="E17" s="55"/>
      <c r="F17" s="277" t="str">
        <f>IFERROR(Reserve_Analysis8[[#This Row],[Initial Replac. Cost]]/Reserve_Analysis8[[#This Row],[Useful Life]],"")</f>
        <v/>
      </c>
      <c r="G17" s="276" t="str">
        <f>IFERROR(Reserve_Analysis8[[#This Row],[Yrs. in Use at Fiscal Yr. End]]*Reserve_Analysis8[[#This Row],[Initial Annual  Payment Amount]],"")</f>
        <v/>
      </c>
      <c r="H17" s="298"/>
      <c r="I17" s="281"/>
      <c r="J17" s="75" t="str">
        <f>IFERROR((Reserve_Analysis8[[#This Row],[Budgeted Reserves This Fiscal Year]]+Reserve_Analysis8[[#This Row],[Actual Reserves in Bank at Beginning of Fiscal Yr]])-Reserve_Analysis8[[#This Row],[Required Reserves End of Fiscal Yr]],"")</f>
        <v/>
      </c>
      <c r="K17" s="283" t="str">
        <f>IFERROR((Reserve_Analysis8[[#This Row],[Budgeted Reserves This Fiscal Year]]+Reserve_Analysis8[[#This Row],[Actual Reserves in Bank at Beginning of Fiscal Yr]])/Reserve_Analysis8[[#This Row],[Required Reserves End of Fiscal Yr]],"")</f>
        <v/>
      </c>
      <c r="L17"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7"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8" spans="1:13" ht="13.5" x14ac:dyDescent="0.35">
      <c r="A18" s="313"/>
      <c r="B18" s="55"/>
      <c r="C18" s="66"/>
      <c r="D18" s="75">
        <f>IFERROR(Reserve_Analysis8[[#This Row],[Useful Life]]-Reserve_Analysis8[[#This Row],[Yrs. in Use at Fiscal Yr. End]],"")</f>
        <v>0</v>
      </c>
      <c r="E18" s="55"/>
      <c r="F18" s="277" t="str">
        <f>IFERROR(Reserve_Analysis8[[#This Row],[Initial Replac. Cost]]/Reserve_Analysis8[[#This Row],[Useful Life]],"")</f>
        <v/>
      </c>
      <c r="G18" s="276" t="str">
        <f>IFERROR(Reserve_Analysis8[[#This Row],[Yrs. in Use at Fiscal Yr. End]]*Reserve_Analysis8[[#This Row],[Initial Annual  Payment Amount]],"")</f>
        <v/>
      </c>
      <c r="H18" s="298"/>
      <c r="I18" s="281"/>
      <c r="J18" s="75" t="str">
        <f>IFERROR((Reserve_Analysis8[[#This Row],[Budgeted Reserves This Fiscal Year]]+Reserve_Analysis8[[#This Row],[Actual Reserves in Bank at Beginning of Fiscal Yr]])-Reserve_Analysis8[[#This Row],[Required Reserves End of Fiscal Yr]],"")</f>
        <v/>
      </c>
      <c r="K18" s="283" t="str">
        <f>IFERROR((Reserve_Analysis8[[#This Row],[Budgeted Reserves This Fiscal Year]]+Reserve_Analysis8[[#This Row],[Actual Reserves in Bank at Beginning of Fiscal Yr]])/Reserve_Analysis8[[#This Row],[Required Reserves End of Fiscal Yr]],"")</f>
        <v/>
      </c>
      <c r="L18"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8"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19" spans="1:13" ht="13.5" x14ac:dyDescent="0.35">
      <c r="A19" s="313"/>
      <c r="B19" s="55"/>
      <c r="C19" s="66"/>
      <c r="D19" s="75">
        <f>IFERROR(Reserve_Analysis8[[#This Row],[Useful Life]]-Reserve_Analysis8[[#This Row],[Yrs. in Use at Fiscal Yr. End]],"")</f>
        <v>0</v>
      </c>
      <c r="E19" s="55"/>
      <c r="F19" s="277" t="str">
        <f>IFERROR(Reserve_Analysis8[[#This Row],[Initial Replac. Cost]]/Reserve_Analysis8[[#This Row],[Useful Life]],"")</f>
        <v/>
      </c>
      <c r="G19" s="276" t="str">
        <f>IFERROR(Reserve_Analysis8[[#This Row],[Yrs. in Use at Fiscal Yr. End]]*Reserve_Analysis8[[#This Row],[Initial Annual  Payment Amount]],"")</f>
        <v/>
      </c>
      <c r="H19" s="298"/>
      <c r="I19" s="281"/>
      <c r="J19" s="75" t="str">
        <f>IFERROR((Reserve_Analysis8[[#This Row],[Budgeted Reserves This Fiscal Year]]+Reserve_Analysis8[[#This Row],[Actual Reserves in Bank at Beginning of Fiscal Yr]])-Reserve_Analysis8[[#This Row],[Required Reserves End of Fiscal Yr]],"")</f>
        <v/>
      </c>
      <c r="K19" s="283" t="str">
        <f>IFERROR((Reserve_Analysis8[[#This Row],[Budgeted Reserves This Fiscal Year]]+Reserve_Analysis8[[#This Row],[Actual Reserves in Bank at Beginning of Fiscal Yr]])/Reserve_Analysis8[[#This Row],[Required Reserves End of Fiscal Yr]],"")</f>
        <v/>
      </c>
      <c r="L19"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19"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0" spans="1:13" ht="13.5" x14ac:dyDescent="0.35">
      <c r="A20" s="313"/>
      <c r="B20" s="55"/>
      <c r="C20" s="66"/>
      <c r="D20" s="75">
        <f>IFERROR(Reserve_Analysis8[[#This Row],[Useful Life]]-Reserve_Analysis8[[#This Row],[Yrs. in Use at Fiscal Yr. End]],"")</f>
        <v>0</v>
      </c>
      <c r="E20" s="55"/>
      <c r="F20" s="277" t="str">
        <f>IFERROR(Reserve_Analysis8[[#This Row],[Initial Replac. Cost]]/Reserve_Analysis8[[#This Row],[Useful Life]],"")</f>
        <v/>
      </c>
      <c r="G20" s="276" t="str">
        <f>IFERROR(Reserve_Analysis8[[#This Row],[Yrs. in Use at Fiscal Yr. End]]*Reserve_Analysis8[[#This Row],[Initial Annual  Payment Amount]],"")</f>
        <v/>
      </c>
      <c r="H20" s="298"/>
      <c r="I20" s="281"/>
      <c r="J20" s="75" t="str">
        <f>IFERROR((Reserve_Analysis8[[#This Row],[Budgeted Reserves This Fiscal Year]]+Reserve_Analysis8[[#This Row],[Actual Reserves in Bank at Beginning of Fiscal Yr]])-Reserve_Analysis8[[#This Row],[Required Reserves End of Fiscal Yr]],"")</f>
        <v/>
      </c>
      <c r="K20" s="283" t="str">
        <f>IFERROR((Reserve_Analysis8[[#This Row],[Budgeted Reserves This Fiscal Year]]+Reserve_Analysis8[[#This Row],[Actual Reserves in Bank at Beginning of Fiscal Yr]])/Reserve_Analysis8[[#This Row],[Required Reserves End of Fiscal Yr]],"")</f>
        <v/>
      </c>
      <c r="L20"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0"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1" spans="1:13" ht="13.5" x14ac:dyDescent="0.35">
      <c r="A21" s="313"/>
      <c r="B21" s="55"/>
      <c r="C21" s="55"/>
      <c r="D21" s="75">
        <f>IFERROR(Reserve_Analysis8[[#This Row],[Useful Life]]-Reserve_Analysis8[[#This Row],[Yrs. in Use at Fiscal Yr. End]],"")</f>
        <v>0</v>
      </c>
      <c r="E21" s="55"/>
      <c r="F21" s="276" t="str">
        <f>IFERROR(Reserve_Analysis8[[#This Row],[Initial Replac. Cost]]/Reserve_Analysis8[[#This Row],[Useful Life]],"")</f>
        <v/>
      </c>
      <c r="G21" s="276" t="str">
        <f>IFERROR(Reserve_Analysis8[[#This Row],[Yrs. in Use at Fiscal Yr. End]]*Reserve_Analysis8[[#This Row],[Initial Annual  Payment Amount]],"")</f>
        <v/>
      </c>
      <c r="H21" s="297"/>
      <c r="I21" s="55"/>
      <c r="J21" s="75" t="str">
        <f>IFERROR((Reserve_Analysis8[[#This Row],[Budgeted Reserves This Fiscal Year]]+Reserve_Analysis8[[#This Row],[Actual Reserves in Bank at Beginning of Fiscal Yr]])-Reserve_Analysis8[[#This Row],[Required Reserves End of Fiscal Yr]],"")</f>
        <v/>
      </c>
      <c r="K21" s="283" t="str">
        <f>IFERROR((Reserve_Analysis8[[#This Row],[Budgeted Reserves This Fiscal Year]]+Reserve_Analysis8[[#This Row],[Actual Reserves in Bank at Beginning of Fiscal Yr]])/Reserve_Analysis8[[#This Row],[Required Reserves End of Fiscal Yr]],"")</f>
        <v/>
      </c>
      <c r="L21"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1"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2" spans="1:13" ht="13.5" x14ac:dyDescent="0.35">
      <c r="A22" s="313"/>
      <c r="B22" s="55"/>
      <c r="C22" s="66"/>
      <c r="D22" s="75">
        <f>IFERROR(Reserve_Analysis8[[#This Row],[Useful Life]]-Reserve_Analysis8[[#This Row],[Yrs. in Use at Fiscal Yr. End]],"")</f>
        <v>0</v>
      </c>
      <c r="E22" s="55"/>
      <c r="F22" s="277" t="str">
        <f>IFERROR(Reserve_Analysis8[[#This Row],[Initial Replac. Cost]]/Reserve_Analysis8[[#This Row],[Useful Life]],"")</f>
        <v/>
      </c>
      <c r="G22" s="276" t="str">
        <f>IFERROR(Reserve_Analysis8[[#This Row],[Yrs. in Use at Fiscal Yr. End]]*Reserve_Analysis8[[#This Row],[Initial Annual  Payment Amount]],"")</f>
        <v/>
      </c>
      <c r="H22" s="298"/>
      <c r="I22" s="281"/>
      <c r="J22" s="75" t="str">
        <f>IFERROR((Reserve_Analysis8[[#This Row],[Budgeted Reserves This Fiscal Year]]+Reserve_Analysis8[[#This Row],[Actual Reserves in Bank at Beginning of Fiscal Yr]])-Reserve_Analysis8[[#This Row],[Required Reserves End of Fiscal Yr]],"")</f>
        <v/>
      </c>
      <c r="K22" s="283" t="str">
        <f>IFERROR((Reserve_Analysis8[[#This Row],[Budgeted Reserves This Fiscal Year]]+Reserve_Analysis8[[#This Row],[Actual Reserves in Bank at Beginning of Fiscal Yr]])/Reserve_Analysis8[[#This Row],[Required Reserves End of Fiscal Yr]],"")</f>
        <v/>
      </c>
      <c r="L22"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2"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3" spans="1:13" ht="13.5" x14ac:dyDescent="0.35">
      <c r="A23" s="313"/>
      <c r="B23" s="55"/>
      <c r="C23" s="66"/>
      <c r="D23" s="75">
        <f>IFERROR(Reserve_Analysis8[[#This Row],[Useful Life]]-Reserve_Analysis8[[#This Row],[Yrs. in Use at Fiscal Yr. End]],"")</f>
        <v>0</v>
      </c>
      <c r="E23" s="55"/>
      <c r="F23" s="277" t="str">
        <f>IFERROR(Reserve_Analysis8[[#This Row],[Initial Replac. Cost]]/Reserve_Analysis8[[#This Row],[Useful Life]],"")</f>
        <v/>
      </c>
      <c r="G23" s="276" t="str">
        <f>IFERROR(Reserve_Analysis8[[#This Row],[Yrs. in Use at Fiscal Yr. End]]*Reserve_Analysis8[[#This Row],[Initial Annual  Payment Amount]],"")</f>
        <v/>
      </c>
      <c r="H23" s="298"/>
      <c r="I23" s="281"/>
      <c r="J23" s="75" t="str">
        <f>IFERROR((Reserve_Analysis8[[#This Row],[Budgeted Reserves This Fiscal Year]]+Reserve_Analysis8[[#This Row],[Actual Reserves in Bank at Beginning of Fiscal Yr]])-Reserve_Analysis8[[#This Row],[Required Reserves End of Fiscal Yr]],"")</f>
        <v/>
      </c>
      <c r="K23" s="283" t="str">
        <f>IFERROR((Reserve_Analysis8[[#This Row],[Budgeted Reserves This Fiscal Year]]+Reserve_Analysis8[[#This Row],[Actual Reserves in Bank at Beginning of Fiscal Yr]])/Reserve_Analysis8[[#This Row],[Required Reserves End of Fiscal Yr]],"")</f>
        <v/>
      </c>
      <c r="L23"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3"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4" spans="1:13" ht="13.5" x14ac:dyDescent="0.35">
      <c r="A24" s="313"/>
      <c r="B24" s="55"/>
      <c r="C24" s="66"/>
      <c r="D24" s="75">
        <f>IFERROR(Reserve_Analysis8[[#This Row],[Useful Life]]-Reserve_Analysis8[[#This Row],[Yrs. in Use at Fiscal Yr. End]],"")</f>
        <v>0</v>
      </c>
      <c r="E24" s="55"/>
      <c r="F24" s="277" t="str">
        <f>IFERROR(Reserve_Analysis8[[#This Row],[Initial Replac. Cost]]/Reserve_Analysis8[[#This Row],[Useful Life]],"")</f>
        <v/>
      </c>
      <c r="G24" s="276" t="str">
        <f>IFERROR(Reserve_Analysis8[[#This Row],[Yrs. in Use at Fiscal Yr. End]]*Reserve_Analysis8[[#This Row],[Initial Annual  Payment Amount]],"")</f>
        <v/>
      </c>
      <c r="H24" s="298"/>
      <c r="I24" s="281"/>
      <c r="J24" s="75" t="str">
        <f>IFERROR((Reserve_Analysis8[[#This Row],[Budgeted Reserves This Fiscal Year]]+Reserve_Analysis8[[#This Row],[Actual Reserves in Bank at Beginning of Fiscal Yr]])-Reserve_Analysis8[[#This Row],[Required Reserves End of Fiscal Yr]],"")</f>
        <v/>
      </c>
      <c r="K24" s="283" t="str">
        <f>IFERROR((Reserve_Analysis8[[#This Row],[Budgeted Reserves This Fiscal Year]]+Reserve_Analysis8[[#This Row],[Actual Reserves in Bank at Beginning of Fiscal Yr]])/Reserve_Analysis8[[#This Row],[Required Reserves End of Fiscal Yr]],"")</f>
        <v/>
      </c>
      <c r="L24"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4"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5" spans="1:13" ht="13.5" x14ac:dyDescent="0.35">
      <c r="A25" s="313"/>
      <c r="B25" s="55"/>
      <c r="C25" s="66"/>
      <c r="D25" s="75">
        <f>IFERROR(Reserve_Analysis8[[#This Row],[Useful Life]]-Reserve_Analysis8[[#This Row],[Yrs. in Use at Fiscal Yr. End]],"")</f>
        <v>0</v>
      </c>
      <c r="E25" s="55"/>
      <c r="F25" s="277" t="str">
        <f>IFERROR(Reserve_Analysis8[[#This Row],[Initial Replac. Cost]]/Reserve_Analysis8[[#This Row],[Useful Life]],"")</f>
        <v/>
      </c>
      <c r="G25" s="276" t="str">
        <f>IFERROR(Reserve_Analysis8[[#This Row],[Yrs. in Use at Fiscal Yr. End]]*Reserve_Analysis8[[#This Row],[Initial Annual  Payment Amount]],"")</f>
        <v/>
      </c>
      <c r="H25" s="298"/>
      <c r="I25" s="281"/>
      <c r="J25" s="75" t="str">
        <f>IFERROR((Reserve_Analysis8[[#This Row],[Budgeted Reserves This Fiscal Year]]+Reserve_Analysis8[[#This Row],[Actual Reserves in Bank at Beginning of Fiscal Yr]])-Reserve_Analysis8[[#This Row],[Required Reserves End of Fiscal Yr]],"")</f>
        <v/>
      </c>
      <c r="K25" s="283" t="str">
        <f>IFERROR((Reserve_Analysis8[[#This Row],[Budgeted Reserves This Fiscal Year]]+Reserve_Analysis8[[#This Row],[Actual Reserves in Bank at Beginning of Fiscal Yr]])/Reserve_Analysis8[[#This Row],[Required Reserves End of Fiscal Yr]],"")</f>
        <v/>
      </c>
      <c r="L25"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5"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6" spans="1:13" ht="13.5" x14ac:dyDescent="0.35">
      <c r="A26" s="313"/>
      <c r="B26" s="55"/>
      <c r="C26" s="66"/>
      <c r="D26" s="75">
        <f>IFERROR(Reserve_Analysis8[[#This Row],[Useful Life]]-Reserve_Analysis8[[#This Row],[Yrs. in Use at Fiscal Yr. End]],"")</f>
        <v>0</v>
      </c>
      <c r="E26" s="55"/>
      <c r="F26" s="277" t="str">
        <f>IFERROR(Reserve_Analysis8[[#This Row],[Initial Replac. Cost]]/Reserve_Analysis8[[#This Row],[Useful Life]],"")</f>
        <v/>
      </c>
      <c r="G26" s="276" t="str">
        <f>IFERROR(Reserve_Analysis8[[#This Row],[Yrs. in Use at Fiscal Yr. End]]*Reserve_Analysis8[[#This Row],[Initial Annual  Payment Amount]],"")</f>
        <v/>
      </c>
      <c r="H26" s="298"/>
      <c r="I26" s="281"/>
      <c r="J26" s="75" t="str">
        <f>IFERROR((Reserve_Analysis8[[#This Row],[Budgeted Reserves This Fiscal Year]]+Reserve_Analysis8[[#This Row],[Actual Reserves in Bank at Beginning of Fiscal Yr]])-Reserve_Analysis8[[#This Row],[Required Reserves End of Fiscal Yr]],"")</f>
        <v/>
      </c>
      <c r="K26" s="283" t="str">
        <f>IFERROR((Reserve_Analysis8[[#This Row],[Budgeted Reserves This Fiscal Year]]+Reserve_Analysis8[[#This Row],[Actual Reserves in Bank at Beginning of Fiscal Yr]])/Reserve_Analysis8[[#This Row],[Required Reserves End of Fiscal Yr]],"")</f>
        <v/>
      </c>
      <c r="L26"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6"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7" spans="1:13" ht="13.5" x14ac:dyDescent="0.35">
      <c r="A27" s="313"/>
      <c r="B27" s="55"/>
      <c r="C27" s="55"/>
      <c r="D27" s="75">
        <f>IFERROR(Reserve_Analysis8[[#This Row],[Useful Life]]-Reserve_Analysis8[[#This Row],[Yrs. in Use at Fiscal Yr. End]],"")</f>
        <v>0</v>
      </c>
      <c r="E27" s="55"/>
      <c r="F27" s="276" t="str">
        <f>IFERROR(Reserve_Analysis8[[#This Row],[Initial Replac. Cost]]/Reserve_Analysis8[[#This Row],[Useful Life]],"")</f>
        <v/>
      </c>
      <c r="G27" s="276" t="str">
        <f>IFERROR(Reserve_Analysis8[[#This Row],[Yrs. in Use at Fiscal Yr. End]]*Reserve_Analysis8[[#This Row],[Initial Annual  Payment Amount]],"")</f>
        <v/>
      </c>
      <c r="H27" s="297"/>
      <c r="I27" s="55"/>
      <c r="J27" s="75" t="str">
        <f>IFERROR((Reserve_Analysis8[[#This Row],[Budgeted Reserves This Fiscal Year]]+Reserve_Analysis8[[#This Row],[Actual Reserves in Bank at Beginning of Fiscal Yr]])-Reserve_Analysis8[[#This Row],[Required Reserves End of Fiscal Yr]],"")</f>
        <v/>
      </c>
      <c r="K27" s="283" t="str">
        <f>IFERROR((Reserve_Analysis8[[#This Row],[Budgeted Reserves This Fiscal Year]]+Reserve_Analysis8[[#This Row],[Actual Reserves in Bank at Beginning of Fiscal Yr]])/Reserve_Analysis8[[#This Row],[Required Reserves End of Fiscal Yr]],"")</f>
        <v/>
      </c>
      <c r="L27"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7" s="7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8" spans="1:13" ht="13.5" x14ac:dyDescent="0.35">
      <c r="A28" s="314"/>
      <c r="B28" s="287"/>
      <c r="C28" s="288"/>
      <c r="D28" s="289">
        <f>IFERROR(Reserve_Analysis8[[#This Row],[Useful Life]]-Reserve_Analysis8[[#This Row],[Yrs. in Use at Fiscal Yr. End]],"")</f>
        <v>0</v>
      </c>
      <c r="E28" s="290"/>
      <c r="F28" s="291" t="str">
        <f>IFERROR(Reserve_Analysis8[[#This Row],[Initial Replac. Cost]]/Reserve_Analysis8[[#This Row],[Useful Life]],"")</f>
        <v/>
      </c>
      <c r="G28" s="292" t="str">
        <f>IFERROR(Reserve_Analysis8[[#This Row],[Yrs. in Use at Fiscal Yr. End]]*Reserve_Analysis8[[#This Row],[Initial Annual  Payment Amount]],"")</f>
        <v/>
      </c>
      <c r="H28" s="299"/>
      <c r="I28" s="294"/>
      <c r="J28" s="75" t="str">
        <f>IFERROR((Reserve_Analysis8[[#This Row],[Budgeted Reserves This Fiscal Year]]+Reserve_Analysis8[[#This Row],[Actual Reserves in Bank at Beginning of Fiscal Yr]])-Reserve_Analysis8[[#This Row],[Required Reserves End of Fiscal Yr]],"")</f>
        <v/>
      </c>
      <c r="K28" s="283" t="str">
        <f>IFERROR((Reserve_Analysis8[[#This Row],[Budgeted Reserves This Fiscal Year]]+Reserve_Analysis8[[#This Row],[Actual Reserves in Bank at Beginning of Fiscal Yr]])/Reserve_Analysis8[[#This Row],[Required Reserves End of Fiscal Yr]],"")</f>
        <v/>
      </c>
      <c r="L28" s="75">
        <f>IF(Reserve_Analysis8[[#This Row],[Actual Reserves in Bank at Beginning of Fiscal Yr]]&gt;= Reserve_Analysis8[[#This Row],[Initial Replac. Cost]],0,Reserve_Analysis8[[#This Row],[Initial Replac. Cost]]-(Reserve_Analysis8[[#This Row],[Actual Reserves in Bank at Beginning of Fiscal Yr]]+Reserve_Analysis8[[#This Row],[Budgeted Reserves This Fiscal Year]]))</f>
        <v>0</v>
      </c>
      <c r="M28" s="295">
        <f>IF(AND(Reserve_Analysis8[[#This Row],[Remain. Life]]=0,Reserve_Analysis8[[#This Row],[Remain. Amount to Fund Replac. Cost]]&gt;0),Reserve_Analysis8[[#This Row],[Remain. Amount to Fund Replac. Cost]]/5,(IF(AND(Reserve_Analysis8[[#This Row],[Remain. Life]]&gt;0,Reserve_Analysis8[[#This Row],[Remain. Amount to Fund Replac. Cost]]&gt;0),Reserve_Analysis8[[#This Row],[Remain. Amount to Fund Replac. Cost]]/Reserve_Analysis8[[#This Row],[Remain. Life]],(IF(AND(Reserve_Analysis8[[#This Row],[Remain. Life]]&gt;0,Reserve_Analysis8[[#This Row],[Remain. Amount to Fund Replac. Cost]]=0),0,(IF(AND(Reserve_Analysis8[[#This Row],[Remain. Life]]=0,Reserve_Analysis8[[#This Row],[Remain. Amount to Fund Replac. Cost]]=0),0)))))))</f>
        <v>0</v>
      </c>
    </row>
    <row r="29" spans="1:13" ht="13.5" x14ac:dyDescent="0.35">
      <c r="A29" s="320"/>
      <c r="B29" s="321"/>
      <c r="C29" s="321"/>
      <c r="D29" s="269" t="s">
        <v>15</v>
      </c>
      <c r="E29" s="260">
        <f>SUBTOTAL(109,Reserve_Analysis8[Initial Replac. Cost])</f>
        <v>0</v>
      </c>
      <c r="F29" s="278">
        <f>SUBTOTAL(109,Reserve_Analysis8[Initial Annual  Payment Amount])</f>
        <v>0</v>
      </c>
      <c r="G29" s="278">
        <f>SUBTOTAL(109,Reserve_Analysis8[Required Reserves End of Fiscal Yr])</f>
        <v>0</v>
      </c>
      <c r="H29" s="278">
        <f>SUBTOTAL(109,Reserve_Analysis8[Budgeted Reserves This Fiscal Year])</f>
        <v>0</v>
      </c>
      <c r="I29" s="282">
        <f>SUBTOTAL(109,Reserve_Analysis8[Actual Reserves in Bank at Beginning of Fiscal Yr])</f>
        <v>0</v>
      </c>
      <c r="J29" s="282">
        <f>SUBTOTAL(109,Reserve_Analysis8[End of Fiscal Yr Adequate / (Shortage)])</f>
        <v>0</v>
      </c>
      <c r="K29" s="300">
        <f>IFERROR((H29+I29)/G29,0)</f>
        <v>0</v>
      </c>
      <c r="L29" s="282">
        <f>SUBTOTAL(109,Reserve_Analysis8[Remain. Amount to Fund Replac. Cost])</f>
        <v>0</v>
      </c>
      <c r="M29" s="282">
        <f>SUBTOTAL(109,Reserve_Analysis8[Current Annual Replac. Cost])</f>
        <v>0</v>
      </c>
    </row>
    <row r="30" spans="1:13" ht="12.75" customHeight="1" x14ac:dyDescent="0.25">
      <c r="A30" s="335" t="s">
        <v>111</v>
      </c>
      <c r="B30" s="335"/>
      <c r="C30" s="335"/>
      <c r="D30" s="335"/>
      <c r="E30" s="335"/>
      <c r="F30" s="335"/>
      <c r="G30" s="335"/>
      <c r="H30" s="335"/>
      <c r="I30" s="335"/>
      <c r="J30" s="335"/>
      <c r="K30" s="335"/>
      <c r="L30" s="335"/>
      <c r="M30" s="335"/>
    </row>
    <row r="31" spans="1:13" ht="12.75" customHeight="1" x14ac:dyDescent="0.25">
      <c r="A31" s="335"/>
      <c r="B31" s="335"/>
      <c r="C31" s="335"/>
      <c r="D31" s="335"/>
      <c r="E31" s="335"/>
      <c r="F31" s="335"/>
      <c r="G31" s="335"/>
      <c r="H31" s="335"/>
      <c r="I31" s="335"/>
      <c r="J31" s="335"/>
      <c r="K31" s="335"/>
      <c r="L31" s="335"/>
      <c r="M31" s="335"/>
    </row>
    <row r="32" spans="1:13" ht="12.75" customHeight="1" x14ac:dyDescent="0.25">
      <c r="A32" s="335"/>
      <c r="B32" s="335"/>
      <c r="C32" s="335"/>
      <c r="D32" s="335"/>
      <c r="E32" s="335"/>
      <c r="F32" s="335"/>
      <c r="G32" s="335"/>
      <c r="H32" s="335"/>
      <c r="I32" s="335"/>
      <c r="J32" s="335"/>
      <c r="K32" s="335"/>
      <c r="L32" s="335"/>
      <c r="M32" s="335"/>
    </row>
    <row r="33" spans="1:13" ht="12.75" customHeight="1" x14ac:dyDescent="0.25">
      <c r="A33" s="335"/>
      <c r="B33" s="335"/>
      <c r="C33" s="335"/>
      <c r="D33" s="335"/>
      <c r="E33" s="335"/>
      <c r="F33" s="335"/>
      <c r="G33" s="335"/>
      <c r="H33" s="335"/>
      <c r="I33" s="335"/>
      <c r="J33" s="335"/>
      <c r="K33" s="335"/>
      <c r="L33" s="335"/>
      <c r="M33" s="335"/>
    </row>
    <row r="34" spans="1:13" ht="16.5" customHeight="1" x14ac:dyDescent="0.25">
      <c r="A34" s="335"/>
      <c r="B34" s="335"/>
      <c r="C34" s="335"/>
      <c r="D34" s="335"/>
      <c r="E34" s="335"/>
      <c r="F34" s="335"/>
      <c r="G34" s="335"/>
      <c r="H34" s="335"/>
      <c r="I34" s="335"/>
      <c r="J34" s="335"/>
      <c r="K34" s="335"/>
      <c r="L34" s="335"/>
      <c r="M34" s="335"/>
    </row>
    <row r="35" spans="1:13" ht="12.75" customHeight="1" x14ac:dyDescent="0.25">
      <c r="A35" s="63"/>
      <c r="B35" s="63"/>
      <c r="C35" s="63"/>
      <c r="D35" s="63"/>
      <c r="E35" s="63"/>
      <c r="F35" s="63"/>
      <c r="G35" s="63"/>
      <c r="H35" s="63"/>
      <c r="I35" s="63"/>
      <c r="J35" s="63"/>
      <c r="K35" s="63"/>
      <c r="L35" s="63"/>
      <c r="M35" s="63"/>
    </row>
    <row r="36" spans="1:13" ht="12.75" customHeight="1" x14ac:dyDescent="0.25">
      <c r="A36" s="335" t="s">
        <v>50</v>
      </c>
      <c r="B36" s="335"/>
      <c r="C36" s="335"/>
      <c r="D36" s="335"/>
      <c r="E36" s="335"/>
      <c r="F36" s="335"/>
      <c r="G36" s="335"/>
      <c r="H36" s="335"/>
      <c r="I36" s="335"/>
      <c r="J36" s="335"/>
      <c r="K36" s="335"/>
      <c r="L36" s="335"/>
      <c r="M36" s="335"/>
    </row>
    <row r="37" spans="1:13" ht="12.75" customHeight="1" x14ac:dyDescent="0.25">
      <c r="A37" s="335"/>
      <c r="B37" s="335"/>
      <c r="C37" s="335"/>
      <c r="D37" s="335"/>
      <c r="E37" s="335"/>
      <c r="F37" s="335"/>
      <c r="G37" s="335"/>
      <c r="H37" s="335"/>
      <c r="I37" s="335"/>
      <c r="J37" s="335"/>
      <c r="K37" s="335"/>
      <c r="L37" s="335"/>
      <c r="M37" s="335"/>
    </row>
    <row r="38" spans="1:13" ht="12.75" customHeight="1" x14ac:dyDescent="0.25">
      <c r="A38" s="335"/>
      <c r="B38" s="335"/>
      <c r="C38" s="335"/>
      <c r="D38" s="335"/>
      <c r="E38" s="335"/>
      <c r="F38" s="335"/>
      <c r="G38" s="335"/>
      <c r="H38" s="335"/>
      <c r="I38" s="335"/>
      <c r="J38" s="335"/>
      <c r="K38" s="335"/>
      <c r="L38" s="335"/>
      <c r="M38" s="335"/>
    </row>
    <row r="39" spans="1:13" ht="13.25" customHeight="1" x14ac:dyDescent="0.25">
      <c r="A39" s="335"/>
      <c r="B39" s="335"/>
      <c r="C39" s="335"/>
      <c r="D39" s="335"/>
      <c r="E39" s="335"/>
      <c r="F39" s="335"/>
      <c r="G39" s="335"/>
      <c r="H39" s="335"/>
      <c r="I39" s="335"/>
      <c r="J39" s="335"/>
      <c r="K39" s="335"/>
      <c r="L39" s="335"/>
      <c r="M39" s="335"/>
    </row>
    <row r="40" spans="1:13" x14ac:dyDescent="0.25">
      <c r="A40" s="335"/>
      <c r="B40" s="335"/>
      <c r="C40" s="335"/>
      <c r="D40" s="335"/>
      <c r="E40" s="335"/>
      <c r="F40" s="335"/>
      <c r="G40" s="335"/>
      <c r="H40" s="335"/>
      <c r="I40" s="335"/>
      <c r="J40" s="335"/>
      <c r="K40" s="335"/>
      <c r="L40" s="335"/>
      <c r="M40" s="335"/>
    </row>
  </sheetData>
  <sheetProtection algorithmName="SHA-512" hashValue="dq6HjiLvhxeuCQrwEfPuwa7CZf58Dalf9UVMCer6Hi21eK9HqYmi3buZpfA65NZK3mxy+A6IKdsaH2iHImhcsg==" saltValue="74pFpf6fasCdMLpg0nPIsQ==" spinCount="100000" sheet="1" objects="1" scenarios="1" selectLockedCells="1"/>
  <mergeCells count="7">
    <mergeCell ref="A30:M34"/>
    <mergeCell ref="A36:M40"/>
    <mergeCell ref="B1:E1"/>
    <mergeCell ref="J1:K1"/>
    <mergeCell ref="I2:J2"/>
    <mergeCell ref="A3:C3"/>
    <mergeCell ref="F3:J3"/>
  </mergeCells>
  <pageMargins left="0.25" right="0.25" top="0.75" bottom="0.75" header="0.3" footer="0.3"/>
  <pageSetup scale="84" orientation="landscape" r:id="rId1"/>
  <headerFooter>
    <oddHeader>&amp;C&amp;"Arial,Bold"&amp;14Reserve Items Analysis&amp;KFF0000*&amp;"Arial,Regular"&amp;10&amp;K000000
&amp;"Arial,Bold"Version: 1.21 (4-5-2023)</oddHeader>
  </headerFooter>
  <ignoredErrors>
    <ignoredError sqref="J7" calculatedColumn="1"/>
  </ignoredErrors>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9"/>
  <sheetViews>
    <sheetView view="pageLayout" zoomScaleNormal="91" workbookViewId="0">
      <selection activeCell="G20" sqref="G20"/>
    </sheetView>
  </sheetViews>
  <sheetFormatPr defaultColWidth="8.90625" defaultRowHeight="12.5" x14ac:dyDescent="0.25"/>
  <cols>
    <col min="1" max="1" width="23.36328125" style="40" customWidth="1"/>
    <col min="2" max="2" width="7.54296875" style="40" customWidth="1"/>
    <col min="3" max="3" width="9.36328125" style="40" customWidth="1"/>
    <col min="4" max="4" width="9.08984375" style="40" customWidth="1"/>
    <col min="5" max="5" width="9.6328125" style="40" customWidth="1"/>
    <col min="6" max="6" width="11.90625" style="279" customWidth="1"/>
    <col min="7" max="8" width="12" style="279" customWidth="1"/>
    <col min="9" max="9" width="12.6328125" style="279" customWidth="1"/>
    <col min="10" max="10" width="13" style="279" customWidth="1"/>
    <col min="11" max="11" width="12.81640625" style="279" customWidth="1"/>
    <col min="12" max="12" width="10.453125" style="279" customWidth="1"/>
    <col min="13" max="13" width="9.1796875" style="279" customWidth="1"/>
    <col min="14" max="14" width="8.90625" style="40"/>
    <col min="15" max="15" width="0" style="40" hidden="1" customWidth="1"/>
    <col min="16" max="16384" width="8.90625" style="40"/>
  </cols>
  <sheetData>
    <row r="1" spans="1:13" ht="13.5" x14ac:dyDescent="0.35">
      <c r="A1" s="318" t="s">
        <v>8</v>
      </c>
      <c r="B1" s="345" t="s">
        <v>107</v>
      </c>
      <c r="C1" s="345"/>
      <c r="D1" s="345"/>
      <c r="E1" s="345"/>
      <c r="F1" s="274" t="s">
        <v>9</v>
      </c>
      <c r="G1" s="170" t="s">
        <v>106</v>
      </c>
      <c r="H1" s="319"/>
      <c r="I1" s="280"/>
      <c r="J1" s="337" t="s">
        <v>4</v>
      </c>
      <c r="K1" s="337"/>
      <c r="L1" s="173">
        <v>42872</v>
      </c>
      <c r="M1" s="275"/>
    </row>
    <row r="2" spans="1:13" ht="16" x14ac:dyDescent="0.4">
      <c r="A2" s="318" t="s">
        <v>10</v>
      </c>
      <c r="B2" s="172">
        <v>48</v>
      </c>
      <c r="C2" s="69"/>
      <c r="D2" s="69"/>
      <c r="E2" s="69"/>
      <c r="F2" s="275"/>
      <c r="G2" s="70"/>
      <c r="H2" s="70"/>
      <c r="I2" s="337" t="s">
        <v>49</v>
      </c>
      <c r="J2" s="339"/>
      <c r="K2" s="173">
        <v>43100</v>
      </c>
      <c r="L2" s="275"/>
      <c r="M2" s="275"/>
    </row>
    <row r="3" spans="1:13" ht="13.5" x14ac:dyDescent="0.35">
      <c r="A3" s="344" t="s">
        <v>31</v>
      </c>
      <c r="B3" s="344"/>
      <c r="C3" s="344"/>
      <c r="D3" s="45">
        <f>IF(ISERROR(Reserve_Analysis[[#Totals],[Initial Annual  Payment Amount]]/12/$B$2),"",Reserve_Analysis[[#Totals],[Initial Annual  Payment Amount]]/12/$B$2)</f>
        <v>25.758101851851851</v>
      </c>
      <c r="E3" s="71"/>
      <c r="F3" s="344" t="s">
        <v>32</v>
      </c>
      <c r="G3" s="344"/>
      <c r="H3" s="344"/>
      <c r="I3" s="344"/>
      <c r="J3" s="344"/>
      <c r="K3" s="45">
        <f>IF(ISERROR(Reserve_Analysis[[#Totals],[Current Annual Replac. Cost]]/12/$B$2),"",Reserve_Analysis[[#Totals],[Current Annual Replac. Cost]]/12/$B$2)</f>
        <v>40.777256944444446</v>
      </c>
      <c r="L3" s="275"/>
      <c r="M3" s="275"/>
    </row>
    <row r="4" spans="1:13" ht="13.5" x14ac:dyDescent="0.35">
      <c r="A4" s="72"/>
      <c r="B4" s="346"/>
      <c r="C4" s="346"/>
      <c r="D4" s="346"/>
      <c r="E4" s="346"/>
      <c r="F4" s="346"/>
      <c r="G4" s="70"/>
      <c r="H4" s="70"/>
      <c r="I4" s="70"/>
      <c r="J4" s="70"/>
      <c r="K4" s="275"/>
      <c r="L4" s="284"/>
      <c r="M4" s="285"/>
    </row>
    <row r="5" spans="1:13" ht="76.25" customHeight="1" x14ac:dyDescent="0.35">
      <c r="A5" s="50" t="s">
        <v>33</v>
      </c>
      <c r="B5" s="51" t="s">
        <v>12</v>
      </c>
      <c r="C5" s="52" t="s">
        <v>100</v>
      </c>
      <c r="D5" s="52" t="s">
        <v>35</v>
      </c>
      <c r="E5" s="52" t="s">
        <v>94</v>
      </c>
      <c r="F5" s="52" t="s">
        <v>95</v>
      </c>
      <c r="G5" s="52" t="s">
        <v>97</v>
      </c>
      <c r="H5" s="52" t="s">
        <v>98</v>
      </c>
      <c r="I5" s="51" t="s">
        <v>99</v>
      </c>
      <c r="J5" s="52" t="s">
        <v>102</v>
      </c>
      <c r="K5" s="52" t="s">
        <v>101</v>
      </c>
      <c r="L5" s="51" t="s">
        <v>103</v>
      </c>
      <c r="M5" s="53" t="s">
        <v>96</v>
      </c>
    </row>
    <row r="6" spans="1:13" ht="13.5" x14ac:dyDescent="0.35">
      <c r="A6" s="74" t="s">
        <v>42</v>
      </c>
      <c r="B6" s="75">
        <v>5</v>
      </c>
      <c r="C6" s="75">
        <v>5</v>
      </c>
      <c r="D6" s="75">
        <f>IFERROR(Reserve_Analysis[[#This Row],[Useful Life]]-Reserve_Analysis[[#This Row],[Yrs. in Use at Fiscal Yr. End]],"")</f>
        <v>0</v>
      </c>
      <c r="E6" s="75">
        <v>10000</v>
      </c>
      <c r="F6" s="75">
        <f>IFERROR(Reserve_Analysis[[#This Row],[Initial Replac. Cost]]/Reserve_Analysis[[#This Row],[Useful Life]],"")</f>
        <v>2000</v>
      </c>
      <c r="G6" s="75">
        <f>IFERROR(Reserve_Analysis[[#This Row],[Yrs. in Use at Fiscal Yr. End]]*Reserve_Analysis[[#This Row],[Initial Annual  Payment Amount]],"")</f>
        <v>10000</v>
      </c>
      <c r="H6" s="75">
        <v>0</v>
      </c>
      <c r="I6" s="75">
        <v>10000</v>
      </c>
      <c r="J6" s="75">
        <f>IFERROR((Reserve_Analysis[[#This Row],[Budgeted Reserves This Fiscal Year]]+Reserve_Analysis[[#This Row],[Actual Reserves in Bank at Beginning of Fiscal Yr]])-Reserve_Analysis[[#This Row],[Required Reserves End of Fiscal Yr]],"")</f>
        <v>0</v>
      </c>
      <c r="K6" s="283">
        <f>IFERROR((Reserve_Analysis[[#This Row],[Budgeted Reserves This Fiscal Year]]+Reserve_Analysis[[#This Row],[Actual Reserves in Bank at Beginning of Fiscal Yr]])/Reserve_Analysis[[#This Row],[Required Reserves End of Fiscal Yr]],"")</f>
        <v>1</v>
      </c>
      <c r="L6"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6"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7" spans="1:13" ht="13.5" x14ac:dyDescent="0.35">
      <c r="A7" s="74" t="s">
        <v>87</v>
      </c>
      <c r="B7" s="75">
        <v>25</v>
      </c>
      <c r="C7" s="75">
        <v>9</v>
      </c>
      <c r="D7" s="75">
        <f>IFERROR(Reserve_Analysis[[#This Row],[Useful Life]]-Reserve_Analysis[[#This Row],[Yrs. in Use at Fiscal Yr. End]],"")</f>
        <v>16</v>
      </c>
      <c r="E7" s="75">
        <v>37000</v>
      </c>
      <c r="F7" s="276">
        <f>IFERROR(Reserve_Analysis[[#This Row],[Initial Replac. Cost]]/Reserve_Analysis[[#This Row],[Useful Life]],"")</f>
        <v>1480</v>
      </c>
      <c r="G7" s="276">
        <f>IFERROR(Reserve_Analysis[[#This Row],[Yrs. in Use at Fiscal Yr. End]]*Reserve_Analysis[[#This Row],[Initial Annual  Payment Amount]],"")</f>
        <v>13320</v>
      </c>
      <c r="H7" s="276">
        <v>2893</v>
      </c>
      <c r="I7" s="75">
        <f>10427</f>
        <v>10427</v>
      </c>
      <c r="J7" s="75">
        <f>IFERROR((Reserve_Analysis[[#This Row],[Budgeted Reserves This Fiscal Year]]+Reserve_Analysis[[#This Row],[Actual Reserves in Bank at Beginning of Fiscal Yr]])-Reserve_Analysis[[#This Row],[Required Reserves End of Fiscal Yr]],"")</f>
        <v>0</v>
      </c>
      <c r="K7" s="283">
        <f>IFERROR((Reserve_Analysis[[#This Row],[Budgeted Reserves This Fiscal Year]]+Reserve_Analysis[[#This Row],[Actual Reserves in Bank at Beginning of Fiscal Yr]])/Reserve_Analysis[[#This Row],[Required Reserves End of Fiscal Yr]],"")</f>
        <v>1</v>
      </c>
      <c r="L7"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23680</v>
      </c>
      <c r="M7"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1480</v>
      </c>
    </row>
    <row r="8" spans="1:13" ht="13.5" x14ac:dyDescent="0.35">
      <c r="A8" s="74" t="s">
        <v>93</v>
      </c>
      <c r="B8" s="75">
        <v>30</v>
      </c>
      <c r="C8" s="75">
        <v>28</v>
      </c>
      <c r="D8" s="75">
        <f>IFERROR(Reserve_Analysis[[#This Row],[Useful Life]]-Reserve_Analysis[[#This Row],[Yrs. in Use at Fiscal Yr. End]],"")</f>
        <v>2</v>
      </c>
      <c r="E8" s="75">
        <v>101000</v>
      </c>
      <c r="F8" s="276">
        <f>IFERROR(Reserve_Analysis[[#This Row],[Initial Replac. Cost]]/Reserve_Analysis[[#This Row],[Useful Life]],"")</f>
        <v>3366.6666666666665</v>
      </c>
      <c r="G8" s="276">
        <f>IFERROR(Reserve_Analysis[[#This Row],[Yrs. in Use at Fiscal Yr. End]]*Reserve_Analysis[[#This Row],[Initial Annual  Payment Amount]],"")</f>
        <v>94266.666666666657</v>
      </c>
      <c r="H8" s="276">
        <v>7898</v>
      </c>
      <c r="I8" s="75">
        <f>82720</f>
        <v>82720</v>
      </c>
      <c r="J8" s="75">
        <f>IFERROR((Reserve_Analysis[[#This Row],[Budgeted Reserves This Fiscal Year]]+Reserve_Analysis[[#This Row],[Actual Reserves in Bank at Beginning of Fiscal Yr]])-Reserve_Analysis[[#This Row],[Required Reserves End of Fiscal Yr]],"")</f>
        <v>-3648.666666666657</v>
      </c>
      <c r="K8" s="283">
        <f>IFERROR((Reserve_Analysis[[#This Row],[Budgeted Reserves This Fiscal Year]]+Reserve_Analysis[[#This Row],[Actual Reserves in Bank at Beginning of Fiscal Yr]])/Reserve_Analysis[[#This Row],[Required Reserves End of Fiscal Yr]],"")</f>
        <v>0.96129420084865635</v>
      </c>
      <c r="L8"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10382</v>
      </c>
      <c r="M8"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5191</v>
      </c>
    </row>
    <row r="9" spans="1:13" ht="13.5" x14ac:dyDescent="0.35">
      <c r="A9" s="74" t="s">
        <v>89</v>
      </c>
      <c r="B9" s="75">
        <v>20</v>
      </c>
      <c r="C9" s="75">
        <v>10</v>
      </c>
      <c r="D9" s="75">
        <f>IFERROR(Reserve_Analysis[[#This Row],[Useful Life]]-Reserve_Analysis[[#This Row],[Yrs. in Use at Fiscal Yr. End]],"")</f>
        <v>10</v>
      </c>
      <c r="E9" s="75">
        <v>100000</v>
      </c>
      <c r="F9" s="276">
        <f>IFERROR(Reserve_Analysis[[#This Row],[Initial Replac. Cost]]/Reserve_Analysis[[#This Row],[Useful Life]],"")</f>
        <v>5000</v>
      </c>
      <c r="G9" s="276">
        <f>IFERROR(Reserve_Analysis[[#This Row],[Yrs. in Use at Fiscal Yr. End]]*Reserve_Analysis[[#This Row],[Initial Annual  Payment Amount]],"")</f>
        <v>50000</v>
      </c>
      <c r="H9" s="276">
        <v>7820</v>
      </c>
      <c r="I9" s="75">
        <f>24573</f>
        <v>24573</v>
      </c>
      <c r="J9" s="75">
        <f>IFERROR((Reserve_Analysis[[#This Row],[Budgeted Reserves This Fiscal Year]]+Reserve_Analysis[[#This Row],[Actual Reserves in Bank at Beginning of Fiscal Yr]])-Reserve_Analysis[[#This Row],[Required Reserves End of Fiscal Yr]],"")</f>
        <v>-17607</v>
      </c>
      <c r="K9" s="283">
        <f>IFERROR((Reserve_Analysis[[#This Row],[Budgeted Reserves This Fiscal Year]]+Reserve_Analysis[[#This Row],[Actual Reserves in Bank at Beginning of Fiscal Yr]])/Reserve_Analysis[[#This Row],[Required Reserves End of Fiscal Yr]],"")</f>
        <v>0.64785999999999999</v>
      </c>
      <c r="L9"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67607</v>
      </c>
      <c r="M9"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6760.7</v>
      </c>
    </row>
    <row r="10" spans="1:13" ht="13.5" x14ac:dyDescent="0.35">
      <c r="A10" s="74" t="s">
        <v>90</v>
      </c>
      <c r="B10" s="75">
        <v>30</v>
      </c>
      <c r="C10" s="75">
        <v>28</v>
      </c>
      <c r="D10" s="75">
        <f>IFERROR(Reserve_Analysis[[#This Row],[Useful Life]]-Reserve_Analysis[[#This Row],[Yrs. in Use at Fiscal Yr. End]],"")</f>
        <v>2</v>
      </c>
      <c r="E10" s="75">
        <v>18000</v>
      </c>
      <c r="F10" s="276">
        <f>IFERROR(Reserve_Analysis[[#This Row],[Initial Replac. Cost]]/Reserve_Analysis[[#This Row],[Useful Life]],"")</f>
        <v>600</v>
      </c>
      <c r="G10" s="276">
        <f>IFERROR(Reserve_Analysis[[#This Row],[Yrs. in Use at Fiscal Yr. End]]*Reserve_Analysis[[#This Row],[Initial Annual  Payment Amount]],"")</f>
        <v>16800</v>
      </c>
      <c r="H10" s="276">
        <v>1408</v>
      </c>
      <c r="I10" s="75">
        <f>8800</f>
        <v>8800</v>
      </c>
      <c r="J10" s="75">
        <f>IFERROR((Reserve_Analysis[[#This Row],[Budgeted Reserves This Fiscal Year]]+Reserve_Analysis[[#This Row],[Actual Reserves in Bank at Beginning of Fiscal Yr]])-Reserve_Analysis[[#This Row],[Required Reserves End of Fiscal Yr]],"")</f>
        <v>-6592</v>
      </c>
      <c r="K10" s="283">
        <f>IFERROR((Reserve_Analysis[[#This Row],[Budgeted Reserves This Fiscal Year]]+Reserve_Analysis[[#This Row],[Actual Reserves in Bank at Beginning of Fiscal Yr]])/Reserve_Analysis[[#This Row],[Required Reserves End of Fiscal Yr]],"")</f>
        <v>0.60761904761904761</v>
      </c>
      <c r="L10"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7792</v>
      </c>
      <c r="M10"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3896</v>
      </c>
    </row>
    <row r="11" spans="1:13" ht="13.5" x14ac:dyDescent="0.35">
      <c r="A11" s="74" t="s">
        <v>44</v>
      </c>
      <c r="B11" s="75">
        <v>20</v>
      </c>
      <c r="C11" s="75">
        <v>15</v>
      </c>
      <c r="D11" s="75">
        <f>IFERROR(Reserve_Analysis[[#This Row],[Useful Life]]-Reserve_Analysis[[#This Row],[Yrs. in Use at Fiscal Yr. End]],"")</f>
        <v>5</v>
      </c>
      <c r="E11" s="75">
        <v>47800</v>
      </c>
      <c r="F11" s="276">
        <f>IFERROR(Reserve_Analysis[[#This Row],[Initial Replac. Cost]]/Reserve_Analysis[[#This Row],[Useful Life]],"")</f>
        <v>2390</v>
      </c>
      <c r="G11" s="276">
        <f>IFERROR(Reserve_Analysis[[#This Row],[Yrs. in Use at Fiscal Yr. End]]*Reserve_Analysis[[#This Row],[Initial Annual  Payment Amount]],"")</f>
        <v>35850</v>
      </c>
      <c r="H11" s="276">
        <v>3738</v>
      </c>
      <c r="I11" s="75">
        <f>13262</f>
        <v>13262</v>
      </c>
      <c r="J11" s="75">
        <f>IFERROR((Reserve_Analysis[[#This Row],[Budgeted Reserves This Fiscal Year]]+Reserve_Analysis[[#This Row],[Actual Reserves in Bank at Beginning of Fiscal Yr]])-Reserve_Analysis[[#This Row],[Required Reserves End of Fiscal Yr]],"")</f>
        <v>-18850</v>
      </c>
      <c r="K11" s="283">
        <f>IFERROR((Reserve_Analysis[[#This Row],[Budgeted Reserves This Fiscal Year]]+Reserve_Analysis[[#This Row],[Actual Reserves in Bank at Beginning of Fiscal Yr]])/Reserve_Analysis[[#This Row],[Required Reserves End of Fiscal Yr]],"")</f>
        <v>0.47419804741980476</v>
      </c>
      <c r="L11"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30800</v>
      </c>
      <c r="M11"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6160</v>
      </c>
    </row>
    <row r="12" spans="1:13" ht="13.5" x14ac:dyDescent="0.35">
      <c r="A12" s="74"/>
      <c r="B12" s="75"/>
      <c r="C12" s="180"/>
      <c r="D12" s="75">
        <f>IFERROR(Reserve_Analysis[[#This Row],[Useful Life]]-Reserve_Analysis[[#This Row],[Yrs. in Use at Fiscal Yr. End]],"")</f>
        <v>0</v>
      </c>
      <c r="E12" s="75"/>
      <c r="F12" s="277" t="str">
        <f>IFERROR(Reserve_Analysis[[#This Row],[Initial Replac. Cost]]/Reserve_Analysis[[#This Row],[Useful Life]],"")</f>
        <v/>
      </c>
      <c r="G12" s="276" t="str">
        <f>IFERROR(Reserve_Analysis[[#This Row],[Yrs. in Use at Fiscal Yr. End]]*Reserve_Analysis[[#This Row],[Initial Annual  Payment Amount]],"")</f>
        <v/>
      </c>
      <c r="H12" s="286"/>
      <c r="I12" s="328"/>
      <c r="J12" s="75" t="str">
        <f>IFERROR(Reserve_Analysis[[#This Row],[Actual Reserves in Bank at Beginning of Fiscal Yr]]-Reserve_Analysis[[#This Row],[Required Reserves End of Fiscal Yr]],"")</f>
        <v/>
      </c>
      <c r="K12" s="283" t="str">
        <f>IFERROR((Reserve_Analysis[[#This Row],[Budgeted Reserves This Fiscal Year]]+Reserve_Analysis[[#This Row],[Actual Reserves in Bank at Beginning of Fiscal Yr]])/Reserve_Analysis[[#This Row],[Required Reserves End of Fiscal Yr]],"")</f>
        <v/>
      </c>
      <c r="L12"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2"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3" spans="1:13" ht="13.5" x14ac:dyDescent="0.35">
      <c r="A13" s="74"/>
      <c r="B13" s="75"/>
      <c r="C13" s="180"/>
      <c r="D13" s="75">
        <f>IFERROR(Reserve_Analysis[[#This Row],[Useful Life]]-Reserve_Analysis[[#This Row],[Yrs. in Use at Fiscal Yr. End]],"")</f>
        <v>0</v>
      </c>
      <c r="E13" s="75"/>
      <c r="F13" s="277" t="str">
        <f>IFERROR(Reserve_Analysis[[#This Row],[Initial Replac. Cost]]/Reserve_Analysis[[#This Row],[Useful Life]],"")</f>
        <v/>
      </c>
      <c r="G13" s="276" t="str">
        <f>IFERROR(Reserve_Analysis[[#This Row],[Yrs. in Use at Fiscal Yr. End]]*Reserve_Analysis[[#This Row],[Initial Annual  Payment Amount]],"")</f>
        <v/>
      </c>
      <c r="H13" s="286"/>
      <c r="I13" s="328"/>
      <c r="J13" s="75" t="str">
        <f>IFERROR(Reserve_Analysis[[#This Row],[Actual Reserves in Bank at Beginning of Fiscal Yr]]-Reserve_Analysis[[#This Row],[Required Reserves End of Fiscal Yr]],"")</f>
        <v/>
      </c>
      <c r="K13" s="283" t="str">
        <f>IFERROR((Reserve_Analysis[[#This Row],[Budgeted Reserves This Fiscal Year]]+Reserve_Analysis[[#This Row],[Actual Reserves in Bank at Beginning of Fiscal Yr]])/Reserve_Analysis[[#This Row],[Required Reserves End of Fiscal Yr]],"")</f>
        <v/>
      </c>
      <c r="L13"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3"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4" spans="1:13" ht="13.5" x14ac:dyDescent="0.35">
      <c r="A14" s="74"/>
      <c r="B14" s="75"/>
      <c r="C14" s="180"/>
      <c r="D14" s="75">
        <f>IFERROR(Reserve_Analysis[[#This Row],[Useful Life]]-Reserve_Analysis[[#This Row],[Yrs. in Use at Fiscal Yr. End]],"")</f>
        <v>0</v>
      </c>
      <c r="E14" s="75"/>
      <c r="F14" s="277" t="str">
        <f>IFERROR(Reserve_Analysis[[#This Row],[Initial Replac. Cost]]/Reserve_Analysis[[#This Row],[Useful Life]],"")</f>
        <v/>
      </c>
      <c r="G14" s="276" t="str">
        <f>IFERROR(Reserve_Analysis[[#This Row],[Yrs. in Use at Fiscal Yr. End]]*Reserve_Analysis[[#This Row],[Initial Annual  Payment Amount]],"")</f>
        <v/>
      </c>
      <c r="H14" s="286"/>
      <c r="I14" s="328"/>
      <c r="J14" s="75" t="str">
        <f>IFERROR(Reserve_Analysis[[#This Row],[Actual Reserves in Bank at Beginning of Fiscal Yr]]-Reserve_Analysis[[#This Row],[Required Reserves End of Fiscal Yr]],"")</f>
        <v/>
      </c>
      <c r="K14" s="283" t="str">
        <f>IFERROR((Reserve_Analysis[[#This Row],[Budgeted Reserves This Fiscal Year]]+Reserve_Analysis[[#This Row],[Actual Reserves in Bank at Beginning of Fiscal Yr]])/Reserve_Analysis[[#This Row],[Required Reserves End of Fiscal Yr]],"")</f>
        <v/>
      </c>
      <c r="L14"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4"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5" spans="1:13" ht="13.5" x14ac:dyDescent="0.35">
      <c r="A15" s="74"/>
      <c r="B15" s="75"/>
      <c r="C15" s="180"/>
      <c r="D15" s="75">
        <f>IFERROR(Reserve_Analysis[[#This Row],[Useful Life]]-Reserve_Analysis[[#This Row],[Yrs. in Use at Fiscal Yr. End]],"")</f>
        <v>0</v>
      </c>
      <c r="E15" s="75"/>
      <c r="F15" s="277" t="str">
        <f>IFERROR(Reserve_Analysis[[#This Row],[Initial Replac. Cost]]/Reserve_Analysis[[#This Row],[Useful Life]],"")</f>
        <v/>
      </c>
      <c r="G15" s="276" t="str">
        <f>IFERROR(Reserve_Analysis[[#This Row],[Yrs. in Use at Fiscal Yr. End]]*Reserve_Analysis[[#This Row],[Initial Annual  Payment Amount]],"")</f>
        <v/>
      </c>
      <c r="H15" s="286"/>
      <c r="I15" s="328"/>
      <c r="J15" s="75" t="str">
        <f>IFERROR(Reserve_Analysis[[#This Row],[Actual Reserves in Bank at Beginning of Fiscal Yr]]-Reserve_Analysis[[#This Row],[Required Reserves End of Fiscal Yr]],"")</f>
        <v/>
      </c>
      <c r="K15" s="283" t="str">
        <f>IFERROR((Reserve_Analysis[[#This Row],[Budgeted Reserves This Fiscal Year]]+Reserve_Analysis[[#This Row],[Actual Reserves in Bank at Beginning of Fiscal Yr]])/Reserve_Analysis[[#This Row],[Required Reserves End of Fiscal Yr]],"")</f>
        <v/>
      </c>
      <c r="L15"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5"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6" spans="1:13" ht="13.5" x14ac:dyDescent="0.35">
      <c r="A16" s="74"/>
      <c r="B16" s="75"/>
      <c r="C16" s="180"/>
      <c r="D16" s="75">
        <f>IFERROR(Reserve_Analysis[[#This Row],[Useful Life]]-Reserve_Analysis[[#This Row],[Yrs. in Use at Fiscal Yr. End]],"")</f>
        <v>0</v>
      </c>
      <c r="E16" s="75"/>
      <c r="F16" s="277" t="str">
        <f>IFERROR(Reserve_Analysis[[#This Row],[Initial Replac. Cost]]/Reserve_Analysis[[#This Row],[Useful Life]],"")</f>
        <v/>
      </c>
      <c r="G16" s="276" t="str">
        <f>IFERROR(Reserve_Analysis[[#This Row],[Yrs. in Use at Fiscal Yr. End]]*Reserve_Analysis[[#This Row],[Initial Annual  Payment Amount]],"")</f>
        <v/>
      </c>
      <c r="H16" s="286"/>
      <c r="I16" s="328"/>
      <c r="J16" s="75" t="str">
        <f>IFERROR(Reserve_Analysis[[#This Row],[Actual Reserves in Bank at Beginning of Fiscal Yr]]-Reserve_Analysis[[#This Row],[Required Reserves End of Fiscal Yr]],"")</f>
        <v/>
      </c>
      <c r="K16" s="283" t="str">
        <f>IFERROR((Reserve_Analysis[[#This Row],[Budgeted Reserves This Fiscal Year]]+Reserve_Analysis[[#This Row],[Actual Reserves in Bank at Beginning of Fiscal Yr]])/Reserve_Analysis[[#This Row],[Required Reserves End of Fiscal Yr]],"")</f>
        <v/>
      </c>
      <c r="L16"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6"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7" spans="1:13" ht="13.5" x14ac:dyDescent="0.35">
      <c r="A17" s="74"/>
      <c r="B17" s="75"/>
      <c r="C17" s="180"/>
      <c r="D17" s="75">
        <f>IFERROR(Reserve_Analysis[[#This Row],[Useful Life]]-Reserve_Analysis[[#This Row],[Yrs. in Use at Fiscal Yr. End]],"")</f>
        <v>0</v>
      </c>
      <c r="E17" s="75"/>
      <c r="F17" s="277" t="str">
        <f>IFERROR(Reserve_Analysis[[#This Row],[Initial Replac. Cost]]/Reserve_Analysis[[#This Row],[Useful Life]],"")</f>
        <v/>
      </c>
      <c r="G17" s="276" t="str">
        <f>IFERROR(Reserve_Analysis[[#This Row],[Yrs. in Use at Fiscal Yr. End]]*Reserve_Analysis[[#This Row],[Initial Annual  Payment Amount]],"")</f>
        <v/>
      </c>
      <c r="H17" s="286"/>
      <c r="I17" s="328"/>
      <c r="J17" s="75" t="str">
        <f>IFERROR(Reserve_Analysis[[#This Row],[Actual Reserves in Bank at Beginning of Fiscal Yr]]-Reserve_Analysis[[#This Row],[Required Reserves End of Fiscal Yr]],"")</f>
        <v/>
      </c>
      <c r="K17" s="283" t="str">
        <f>IFERROR((Reserve_Analysis[[#This Row],[Budgeted Reserves This Fiscal Year]]+Reserve_Analysis[[#This Row],[Actual Reserves in Bank at Beginning of Fiscal Yr]])/Reserve_Analysis[[#This Row],[Required Reserves End of Fiscal Yr]],"")</f>
        <v/>
      </c>
      <c r="L17"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7"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8" spans="1:13" ht="13.5" x14ac:dyDescent="0.35">
      <c r="A18" s="74"/>
      <c r="B18" s="75"/>
      <c r="C18" s="180"/>
      <c r="D18" s="75">
        <f>IFERROR(Reserve_Analysis[[#This Row],[Useful Life]]-Reserve_Analysis[[#This Row],[Yrs. in Use at Fiscal Yr. End]],"")</f>
        <v>0</v>
      </c>
      <c r="E18" s="75"/>
      <c r="F18" s="277" t="str">
        <f>IFERROR(Reserve_Analysis[[#This Row],[Initial Replac. Cost]]/Reserve_Analysis[[#This Row],[Useful Life]],"")</f>
        <v/>
      </c>
      <c r="G18" s="276" t="str">
        <f>IFERROR(Reserve_Analysis[[#This Row],[Yrs. in Use at Fiscal Yr. End]]*Reserve_Analysis[[#This Row],[Initial Annual  Payment Amount]],"")</f>
        <v/>
      </c>
      <c r="H18" s="286"/>
      <c r="I18" s="328"/>
      <c r="J18" s="75" t="str">
        <f>IFERROR(Reserve_Analysis[[#This Row],[Actual Reserves in Bank at Beginning of Fiscal Yr]]-Reserve_Analysis[[#This Row],[Required Reserves End of Fiscal Yr]],"")</f>
        <v/>
      </c>
      <c r="K18" s="283" t="str">
        <f>IFERROR((Reserve_Analysis[[#This Row],[Budgeted Reserves This Fiscal Year]]+Reserve_Analysis[[#This Row],[Actual Reserves in Bank at Beginning of Fiscal Yr]])/Reserve_Analysis[[#This Row],[Required Reserves End of Fiscal Yr]],"")</f>
        <v/>
      </c>
      <c r="L18"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8"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19" spans="1:13" ht="13.5" x14ac:dyDescent="0.35">
      <c r="A19" s="74"/>
      <c r="B19" s="75"/>
      <c r="C19" s="180"/>
      <c r="D19" s="75">
        <f>IFERROR(Reserve_Analysis[[#This Row],[Useful Life]]-Reserve_Analysis[[#This Row],[Yrs. in Use at Fiscal Yr. End]],"")</f>
        <v>0</v>
      </c>
      <c r="E19" s="75"/>
      <c r="F19" s="277" t="str">
        <f>IFERROR(Reserve_Analysis[[#This Row],[Initial Replac. Cost]]/Reserve_Analysis[[#This Row],[Useful Life]],"")</f>
        <v/>
      </c>
      <c r="G19" s="276" t="str">
        <f>IFERROR(Reserve_Analysis[[#This Row],[Yrs. in Use at Fiscal Yr. End]]*Reserve_Analysis[[#This Row],[Initial Annual  Payment Amount]],"")</f>
        <v/>
      </c>
      <c r="H19" s="286"/>
      <c r="I19" s="328"/>
      <c r="J19" s="75" t="str">
        <f>IFERROR(Reserve_Analysis[[#This Row],[Actual Reserves in Bank at Beginning of Fiscal Yr]]-Reserve_Analysis[[#This Row],[Required Reserves End of Fiscal Yr]],"")</f>
        <v/>
      </c>
      <c r="K19" s="283" t="str">
        <f>IFERROR((Reserve_Analysis[[#This Row],[Budgeted Reserves This Fiscal Year]]+Reserve_Analysis[[#This Row],[Actual Reserves in Bank at Beginning of Fiscal Yr]])/Reserve_Analysis[[#This Row],[Required Reserves End of Fiscal Yr]],"")</f>
        <v/>
      </c>
      <c r="L19"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19"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0" spans="1:13" ht="13.5" x14ac:dyDescent="0.35">
      <c r="A20" s="74"/>
      <c r="B20" s="75"/>
      <c r="C20" s="75"/>
      <c r="D20" s="75">
        <f>IFERROR(Reserve_Analysis[[#This Row],[Useful Life]]-Reserve_Analysis[[#This Row],[Yrs. in Use at Fiscal Yr. End]],"")</f>
        <v>0</v>
      </c>
      <c r="E20" s="75"/>
      <c r="F20" s="276" t="str">
        <f>IFERROR(Reserve_Analysis[[#This Row],[Initial Replac. Cost]]/Reserve_Analysis[[#This Row],[Useful Life]],"")</f>
        <v/>
      </c>
      <c r="G20" s="276" t="str">
        <f>IFERROR(Reserve_Analysis[[#This Row],[Yrs. in Use at Fiscal Yr. End]]*Reserve_Analysis[[#This Row],[Initial Annual  Payment Amount]],"")</f>
        <v/>
      </c>
      <c r="H20" s="276"/>
      <c r="I20" s="75"/>
      <c r="J20" s="75" t="str">
        <f>IFERROR(Reserve_Analysis[[#This Row],[Actual Reserves in Bank at Beginning of Fiscal Yr]]-Reserve_Analysis[[#This Row],[Required Reserves End of Fiscal Yr]],"")</f>
        <v/>
      </c>
      <c r="K20" s="283" t="str">
        <f>IFERROR((Reserve_Analysis[[#This Row],[Budgeted Reserves This Fiscal Year]]+Reserve_Analysis[[#This Row],[Actual Reserves in Bank at Beginning of Fiscal Yr]])/Reserve_Analysis[[#This Row],[Required Reserves End of Fiscal Yr]],"")</f>
        <v/>
      </c>
      <c r="L20"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0"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1" spans="1:13" ht="13.5" x14ac:dyDescent="0.35">
      <c r="A21" s="74"/>
      <c r="B21" s="75"/>
      <c r="C21" s="180"/>
      <c r="D21" s="75">
        <f>IFERROR(Reserve_Analysis[[#This Row],[Useful Life]]-Reserve_Analysis[[#This Row],[Yrs. in Use at Fiscal Yr. End]],"")</f>
        <v>0</v>
      </c>
      <c r="E21" s="75"/>
      <c r="F21" s="277" t="str">
        <f>IFERROR(Reserve_Analysis[[#This Row],[Initial Replac. Cost]]/Reserve_Analysis[[#This Row],[Useful Life]],"")</f>
        <v/>
      </c>
      <c r="G21" s="276" t="str">
        <f>IFERROR(Reserve_Analysis[[#This Row],[Yrs. in Use at Fiscal Yr. End]]*Reserve_Analysis[[#This Row],[Initial Annual  Payment Amount]],"")</f>
        <v/>
      </c>
      <c r="H21" s="286"/>
      <c r="I21" s="328"/>
      <c r="J21" s="75" t="str">
        <f>IFERROR(Reserve_Analysis[[#This Row],[Actual Reserves in Bank at Beginning of Fiscal Yr]]-Reserve_Analysis[[#This Row],[Required Reserves End of Fiscal Yr]],"")</f>
        <v/>
      </c>
      <c r="K21" s="283" t="str">
        <f>IFERROR((Reserve_Analysis[[#This Row],[Budgeted Reserves This Fiscal Year]]+Reserve_Analysis[[#This Row],[Actual Reserves in Bank at Beginning of Fiscal Yr]])/Reserve_Analysis[[#This Row],[Required Reserves End of Fiscal Yr]],"")</f>
        <v/>
      </c>
      <c r="L21"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1"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2" spans="1:13" ht="13.5" x14ac:dyDescent="0.35">
      <c r="A22" s="74"/>
      <c r="B22" s="75"/>
      <c r="C22" s="180"/>
      <c r="D22" s="75">
        <f>IFERROR(Reserve_Analysis[[#This Row],[Useful Life]]-Reserve_Analysis[[#This Row],[Yrs. in Use at Fiscal Yr. End]],"")</f>
        <v>0</v>
      </c>
      <c r="E22" s="75"/>
      <c r="F22" s="277" t="str">
        <f>IFERROR(Reserve_Analysis[[#This Row],[Initial Replac. Cost]]/Reserve_Analysis[[#This Row],[Useful Life]],"")</f>
        <v/>
      </c>
      <c r="G22" s="276" t="str">
        <f>IFERROR(Reserve_Analysis[[#This Row],[Yrs. in Use at Fiscal Yr. End]]*Reserve_Analysis[[#This Row],[Initial Annual  Payment Amount]],"")</f>
        <v/>
      </c>
      <c r="H22" s="286"/>
      <c r="I22" s="328"/>
      <c r="J22" s="75" t="str">
        <f>IFERROR(Reserve_Analysis[[#This Row],[Actual Reserves in Bank at Beginning of Fiscal Yr]]-Reserve_Analysis[[#This Row],[Required Reserves End of Fiscal Yr]],"")</f>
        <v/>
      </c>
      <c r="K22" s="283" t="str">
        <f>IFERROR((Reserve_Analysis[[#This Row],[Budgeted Reserves This Fiscal Year]]+Reserve_Analysis[[#This Row],[Actual Reserves in Bank at Beginning of Fiscal Yr]])/Reserve_Analysis[[#This Row],[Required Reserves End of Fiscal Yr]],"")</f>
        <v/>
      </c>
      <c r="L22"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2"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3" spans="1:13" ht="13.5" x14ac:dyDescent="0.35">
      <c r="A23" s="74"/>
      <c r="B23" s="75"/>
      <c r="C23" s="180"/>
      <c r="D23" s="75">
        <f>IFERROR(Reserve_Analysis[[#This Row],[Useful Life]]-Reserve_Analysis[[#This Row],[Yrs. in Use at Fiscal Yr. End]],"")</f>
        <v>0</v>
      </c>
      <c r="E23" s="75"/>
      <c r="F23" s="277" t="str">
        <f>IFERROR(Reserve_Analysis[[#This Row],[Initial Replac. Cost]]/Reserve_Analysis[[#This Row],[Useful Life]],"")</f>
        <v/>
      </c>
      <c r="G23" s="276" t="str">
        <f>IFERROR(Reserve_Analysis[[#This Row],[Yrs. in Use at Fiscal Yr. End]]*Reserve_Analysis[[#This Row],[Initial Annual  Payment Amount]],"")</f>
        <v/>
      </c>
      <c r="H23" s="286"/>
      <c r="I23" s="328"/>
      <c r="J23" s="75" t="str">
        <f>IFERROR(Reserve_Analysis[[#This Row],[Actual Reserves in Bank at Beginning of Fiscal Yr]]-Reserve_Analysis[[#This Row],[Required Reserves End of Fiscal Yr]],"")</f>
        <v/>
      </c>
      <c r="K23" s="283" t="str">
        <f>IFERROR((Reserve_Analysis[[#This Row],[Budgeted Reserves This Fiscal Year]]+Reserve_Analysis[[#This Row],[Actual Reserves in Bank at Beginning of Fiscal Yr]])/Reserve_Analysis[[#This Row],[Required Reserves End of Fiscal Yr]],"")</f>
        <v/>
      </c>
      <c r="L23"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3"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4" spans="1:13" ht="13.5" x14ac:dyDescent="0.35">
      <c r="A24" s="74"/>
      <c r="B24" s="75"/>
      <c r="C24" s="180"/>
      <c r="D24" s="75">
        <f>IFERROR(Reserve_Analysis[[#This Row],[Useful Life]]-Reserve_Analysis[[#This Row],[Yrs. in Use at Fiscal Yr. End]],"")</f>
        <v>0</v>
      </c>
      <c r="E24" s="75"/>
      <c r="F24" s="277" t="str">
        <f>IFERROR(Reserve_Analysis[[#This Row],[Initial Replac. Cost]]/Reserve_Analysis[[#This Row],[Useful Life]],"")</f>
        <v/>
      </c>
      <c r="G24" s="276" t="str">
        <f>IFERROR(Reserve_Analysis[[#This Row],[Yrs. in Use at Fiscal Yr. End]]*Reserve_Analysis[[#This Row],[Initial Annual  Payment Amount]],"")</f>
        <v/>
      </c>
      <c r="H24" s="286"/>
      <c r="I24" s="328"/>
      <c r="J24" s="75" t="str">
        <f>IFERROR(Reserve_Analysis[[#This Row],[Actual Reserves in Bank at Beginning of Fiscal Yr]]-Reserve_Analysis[[#This Row],[Required Reserves End of Fiscal Yr]],"")</f>
        <v/>
      </c>
      <c r="K24" s="283" t="str">
        <f>IFERROR((Reserve_Analysis[[#This Row],[Budgeted Reserves This Fiscal Year]]+Reserve_Analysis[[#This Row],[Actual Reserves in Bank at Beginning of Fiscal Yr]])/Reserve_Analysis[[#This Row],[Required Reserves End of Fiscal Yr]],"")</f>
        <v/>
      </c>
      <c r="L24"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4"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5" spans="1:13" ht="13.5" x14ac:dyDescent="0.35">
      <c r="A25" s="74"/>
      <c r="B25" s="75"/>
      <c r="C25" s="180"/>
      <c r="D25" s="75">
        <f>IFERROR(Reserve_Analysis[[#This Row],[Useful Life]]-Reserve_Analysis[[#This Row],[Yrs. in Use at Fiscal Yr. End]],"")</f>
        <v>0</v>
      </c>
      <c r="E25" s="75"/>
      <c r="F25" s="277" t="str">
        <f>IFERROR(Reserve_Analysis[[#This Row],[Initial Replac. Cost]]/Reserve_Analysis[[#This Row],[Useful Life]],"")</f>
        <v/>
      </c>
      <c r="G25" s="276" t="str">
        <f>IFERROR(Reserve_Analysis[[#This Row],[Yrs. in Use at Fiscal Yr. End]]*Reserve_Analysis[[#This Row],[Initial Annual  Payment Amount]],"")</f>
        <v/>
      </c>
      <c r="H25" s="286"/>
      <c r="I25" s="328"/>
      <c r="J25" s="75" t="str">
        <f>IFERROR(Reserve_Analysis[[#This Row],[Actual Reserves in Bank at Beginning of Fiscal Yr]]-Reserve_Analysis[[#This Row],[Required Reserves End of Fiscal Yr]],"")</f>
        <v/>
      </c>
      <c r="K25" s="283" t="str">
        <f>IFERROR((Reserve_Analysis[[#This Row],[Budgeted Reserves This Fiscal Year]]+Reserve_Analysis[[#This Row],[Actual Reserves in Bank at Beginning of Fiscal Yr]])/Reserve_Analysis[[#This Row],[Required Reserves End of Fiscal Yr]],"")</f>
        <v/>
      </c>
      <c r="L25"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5"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6" spans="1:13" ht="13.5" x14ac:dyDescent="0.35">
      <c r="A26" s="74"/>
      <c r="B26" s="75"/>
      <c r="C26" s="75"/>
      <c r="D26" s="75">
        <f>IFERROR(Reserve_Analysis[[#This Row],[Useful Life]]-Reserve_Analysis[[#This Row],[Yrs. in Use at Fiscal Yr. End]],"")</f>
        <v>0</v>
      </c>
      <c r="E26" s="75"/>
      <c r="F26" s="276" t="str">
        <f>IFERROR(Reserve_Analysis[[#This Row],[Initial Replac. Cost]]/Reserve_Analysis[[#This Row],[Useful Life]],"")</f>
        <v/>
      </c>
      <c r="G26" s="276" t="str">
        <f>IFERROR(Reserve_Analysis[[#This Row],[Yrs. in Use at Fiscal Yr. End]]*Reserve_Analysis[[#This Row],[Initial Annual  Payment Amount]],"")</f>
        <v/>
      </c>
      <c r="H26" s="276"/>
      <c r="I26" s="75"/>
      <c r="J26" s="75" t="str">
        <f>IFERROR(Reserve_Analysis[[#This Row],[Actual Reserves in Bank at Beginning of Fiscal Yr]]-Reserve_Analysis[[#This Row],[Required Reserves End of Fiscal Yr]],"")</f>
        <v/>
      </c>
      <c r="K26" s="283" t="str">
        <f>IFERROR((Reserve_Analysis[[#This Row],[Budgeted Reserves This Fiscal Year]]+Reserve_Analysis[[#This Row],[Actual Reserves in Bank at Beginning of Fiscal Yr]])/Reserve_Analysis[[#This Row],[Required Reserves End of Fiscal Yr]],"")</f>
        <v/>
      </c>
      <c r="L26"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6" s="7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7" spans="1:13" ht="13.5" x14ac:dyDescent="0.35">
      <c r="A27" s="329"/>
      <c r="B27" s="289"/>
      <c r="C27" s="330"/>
      <c r="D27" s="289">
        <f>IFERROR(Reserve_Analysis[[#This Row],[Useful Life]]-Reserve_Analysis[[#This Row],[Yrs. in Use at Fiscal Yr. End]],"")</f>
        <v>0</v>
      </c>
      <c r="E27" s="331"/>
      <c r="F27" s="291" t="str">
        <f>IFERROR(Reserve_Analysis[[#This Row],[Initial Replac. Cost]]/Reserve_Analysis[[#This Row],[Useful Life]],"")</f>
        <v/>
      </c>
      <c r="G27" s="292" t="str">
        <f>IFERROR(Reserve_Analysis[[#This Row],[Yrs. in Use at Fiscal Yr. End]]*Reserve_Analysis[[#This Row],[Initial Annual  Payment Amount]],"")</f>
        <v/>
      </c>
      <c r="H27" s="293"/>
      <c r="I27" s="332"/>
      <c r="J27" s="289" t="str">
        <f>IFERROR(Reserve_Analysis[[#This Row],[Actual Reserves in Bank at Beginning of Fiscal Yr]]-Reserve_Analysis[[#This Row],[Required Reserves End of Fiscal Yr]],"")</f>
        <v/>
      </c>
      <c r="K27" s="283" t="str">
        <f>IFERROR((Reserve_Analysis[[#This Row],[Budgeted Reserves This Fiscal Year]]+Reserve_Analysis[[#This Row],[Actual Reserves in Bank at Beginning of Fiscal Yr]])/Reserve_Analysis[[#This Row],[Required Reserves End of Fiscal Yr]],"")</f>
        <v/>
      </c>
      <c r="L27" s="75">
        <f>IF(Reserve_Analysis[[#This Row],[Actual Reserves in Bank at Beginning of Fiscal Yr]]&gt;= Reserve_Analysis[[#This Row],[Initial Replac. Cost]],0,Reserve_Analysis[[#This Row],[Initial Replac. Cost]]-(Reserve_Analysis[[#This Row],[Actual Reserves in Bank at Beginning of Fiscal Yr]]+Reserve_Analysis[[#This Row],[Budgeted Reserves This Fiscal Year]]))</f>
        <v>0</v>
      </c>
      <c r="M27" s="295">
        <f>IF(AND(Reserve_Analysis[[#This Row],[Remain. Life]]=0,Reserve_Analysis[[#This Row],[Remain. Amount to Fund Replac. Cost]]&gt;0),Reserve_Analysis[[#This Row],[Remain. Amount to Fund Replac. Cost]]/5,(IF(AND(Reserve_Analysis[[#This Row],[Remain. Life]]&gt;0,Reserve_Analysis[[#This Row],[Remain. Amount to Fund Replac. Cost]]&gt;0),Reserve_Analysis[[#This Row],[Remain. Amount to Fund Replac. Cost]]/Reserve_Analysis[[#This Row],[Remain. Life]],(IF(AND(Reserve_Analysis[[#This Row],[Remain. Life]]&gt;0,Reserve_Analysis[[#This Row],[Remain. Amount to Fund Replac. Cost]]=0),0,(IF(AND(Reserve_Analysis[[#This Row],[Remain. Life]]=0,Reserve_Analysis[[#This Row],[Remain. Amount to Fund Replac. Cost]]=0),0)))))))</f>
        <v>0</v>
      </c>
    </row>
    <row r="28" spans="1:13" ht="13.5" x14ac:dyDescent="0.35">
      <c r="A28" s="320"/>
      <c r="B28" s="321"/>
      <c r="C28" s="321"/>
      <c r="D28" s="269" t="s">
        <v>15</v>
      </c>
      <c r="E28" s="260">
        <f>SUBTOTAL(109,Reserve_Analysis[Initial Replac. Cost])</f>
        <v>313800</v>
      </c>
      <c r="F28" s="278">
        <f>SUBTOTAL(109,Reserve_Analysis[Initial Annual  Payment Amount])</f>
        <v>14836.666666666666</v>
      </c>
      <c r="G28" s="278">
        <f>SUBTOTAL(109,Reserve_Analysis[Required Reserves End of Fiscal Yr])</f>
        <v>220236.66666666666</v>
      </c>
      <c r="H28" s="278">
        <f>SUBTOTAL(109,Reserve_Analysis[Budgeted Reserves This Fiscal Year])</f>
        <v>23757</v>
      </c>
      <c r="I28" s="282">
        <f>SUBTOTAL(109,Reserve_Analysis[Actual Reserves in Bank at Beginning of Fiscal Yr])</f>
        <v>149782</v>
      </c>
      <c r="J28" s="282">
        <f>SUBTOTAL(109,Reserve_Analysis[End of Fiscal Yr Adequate / (Shortage)])</f>
        <v>-46697.666666666657</v>
      </c>
      <c r="K28" s="296">
        <f>(H28+I28)/G28</f>
        <v>0.78796597599551998</v>
      </c>
      <c r="L28" s="282">
        <f>SUBTOTAL(109,Reserve_Analysis[Remain. Amount to Fund Replac. Cost])</f>
        <v>140261</v>
      </c>
      <c r="M28" s="282">
        <f>SUBTOTAL(109,Reserve_Analysis[Current Annual Replac. Cost])</f>
        <v>23487.7</v>
      </c>
    </row>
    <row r="29" spans="1:13" ht="12.75" customHeight="1" x14ac:dyDescent="0.25">
      <c r="A29" s="335" t="s">
        <v>113</v>
      </c>
      <c r="B29" s="335"/>
      <c r="C29" s="335"/>
      <c r="D29" s="335"/>
      <c r="E29" s="335"/>
      <c r="F29" s="335"/>
      <c r="G29" s="335"/>
      <c r="H29" s="335"/>
      <c r="I29" s="335"/>
      <c r="J29" s="335"/>
      <c r="K29" s="335"/>
      <c r="L29" s="335"/>
      <c r="M29" s="335"/>
    </row>
    <row r="30" spans="1:13" ht="12.75" customHeight="1" x14ac:dyDescent="0.25">
      <c r="A30" s="335"/>
      <c r="B30" s="335"/>
      <c r="C30" s="335"/>
      <c r="D30" s="335"/>
      <c r="E30" s="335"/>
      <c r="F30" s="335"/>
      <c r="G30" s="335"/>
      <c r="H30" s="335"/>
      <c r="I30" s="335"/>
      <c r="J30" s="335"/>
      <c r="K30" s="335"/>
      <c r="L30" s="335"/>
      <c r="M30" s="335"/>
    </row>
    <row r="31" spans="1:13" ht="12.75" customHeight="1" x14ac:dyDescent="0.25">
      <c r="A31" s="335"/>
      <c r="B31" s="335"/>
      <c r="C31" s="335"/>
      <c r="D31" s="335"/>
      <c r="E31" s="335"/>
      <c r="F31" s="335"/>
      <c r="G31" s="335"/>
      <c r="H31" s="335"/>
      <c r="I31" s="335"/>
      <c r="J31" s="335"/>
      <c r="K31" s="335"/>
      <c r="L31" s="335"/>
      <c r="M31" s="335"/>
    </row>
    <row r="32" spans="1:13" ht="12.75" customHeight="1" x14ac:dyDescent="0.25">
      <c r="A32" s="335"/>
      <c r="B32" s="335"/>
      <c r="C32" s="335"/>
      <c r="D32" s="335"/>
      <c r="E32" s="335"/>
      <c r="F32" s="335"/>
      <c r="G32" s="335"/>
      <c r="H32" s="335"/>
      <c r="I32" s="335"/>
      <c r="J32" s="335"/>
      <c r="K32" s="335"/>
      <c r="L32" s="335"/>
      <c r="M32" s="335"/>
    </row>
    <row r="33" spans="1:13" ht="16.5" customHeight="1" x14ac:dyDescent="0.25">
      <c r="A33" s="335"/>
      <c r="B33" s="335"/>
      <c r="C33" s="335"/>
      <c r="D33" s="335"/>
      <c r="E33" s="335"/>
      <c r="F33" s="335"/>
      <c r="G33" s="335"/>
      <c r="H33" s="335"/>
      <c r="I33" s="335"/>
      <c r="J33" s="335"/>
      <c r="K33" s="335"/>
      <c r="L33" s="335"/>
      <c r="M33" s="335"/>
    </row>
    <row r="34" spans="1:13" ht="12.75" customHeight="1" x14ac:dyDescent="0.25">
      <c r="A34" s="63"/>
      <c r="B34" s="63"/>
      <c r="C34" s="63"/>
      <c r="D34" s="63"/>
      <c r="E34" s="63"/>
      <c r="F34" s="63"/>
      <c r="G34" s="63"/>
      <c r="H34" s="63"/>
      <c r="I34" s="63"/>
      <c r="J34" s="63"/>
      <c r="K34" s="63"/>
      <c r="L34" s="63"/>
      <c r="M34" s="63"/>
    </row>
    <row r="35" spans="1:13" ht="12.75" customHeight="1" x14ac:dyDescent="0.25">
      <c r="A35" s="335" t="s">
        <v>50</v>
      </c>
      <c r="B35" s="335"/>
      <c r="C35" s="335"/>
      <c r="D35" s="335"/>
      <c r="E35" s="335"/>
      <c r="F35" s="335"/>
      <c r="G35" s="335"/>
      <c r="H35" s="335"/>
      <c r="I35" s="335"/>
      <c r="J35" s="335"/>
      <c r="K35" s="335"/>
      <c r="L35" s="335"/>
      <c r="M35" s="335"/>
    </row>
    <row r="36" spans="1:13" ht="12.75" customHeight="1" x14ac:dyDescent="0.25">
      <c r="A36" s="335"/>
      <c r="B36" s="335"/>
      <c r="C36" s="335"/>
      <c r="D36" s="335"/>
      <c r="E36" s="335"/>
      <c r="F36" s="335"/>
      <c r="G36" s="335"/>
      <c r="H36" s="335"/>
      <c r="I36" s="335"/>
      <c r="J36" s="335"/>
      <c r="K36" s="335"/>
      <c r="L36" s="335"/>
      <c r="M36" s="335"/>
    </row>
    <row r="37" spans="1:13" ht="12.75" customHeight="1" x14ac:dyDescent="0.25">
      <c r="A37" s="335"/>
      <c r="B37" s="335"/>
      <c r="C37" s="335"/>
      <c r="D37" s="335"/>
      <c r="E37" s="335"/>
      <c r="F37" s="335"/>
      <c r="G37" s="335"/>
      <c r="H37" s="335"/>
      <c r="I37" s="335"/>
      <c r="J37" s="335"/>
      <c r="K37" s="335"/>
      <c r="L37" s="335"/>
      <c r="M37" s="335"/>
    </row>
    <row r="38" spans="1:13" ht="13.25" customHeight="1" x14ac:dyDescent="0.25">
      <c r="A38" s="335"/>
      <c r="B38" s="335"/>
      <c r="C38" s="335"/>
      <c r="D38" s="335"/>
      <c r="E38" s="335"/>
      <c r="F38" s="335"/>
      <c r="G38" s="335"/>
      <c r="H38" s="335"/>
      <c r="I38" s="335"/>
      <c r="J38" s="335"/>
      <c r="K38" s="335"/>
      <c r="L38" s="335"/>
      <c r="M38" s="335"/>
    </row>
    <row r="39" spans="1:13" x14ac:dyDescent="0.25">
      <c r="A39" s="335"/>
      <c r="B39" s="335"/>
      <c r="C39" s="335"/>
      <c r="D39" s="335"/>
      <c r="E39" s="335"/>
      <c r="F39" s="335"/>
      <c r="G39" s="335"/>
      <c r="H39" s="335"/>
      <c r="I39" s="335"/>
      <c r="J39" s="335"/>
      <c r="K39" s="335"/>
      <c r="L39" s="335"/>
      <c r="M39" s="335"/>
    </row>
  </sheetData>
  <sheetProtection algorithmName="SHA-512" hashValue="ajy17U1u0W/KKlE+PUzHKJQMympwRc8UXqbKIge8FqbOT5XXkaEI6CwuNZvTP5PY14Ju33y959dZPYhN3cFVhQ==" saltValue="LHJcaQuJUzxzIqw9YvsbbQ==" spinCount="100000" sheet="1" objects="1" scenarios="1" selectLockedCells="1"/>
  <mergeCells count="8">
    <mergeCell ref="A29:M33"/>
    <mergeCell ref="A35:M39"/>
    <mergeCell ref="B1:E1"/>
    <mergeCell ref="J1:K1"/>
    <mergeCell ref="I2:J2"/>
    <mergeCell ref="A3:C3"/>
    <mergeCell ref="F3:J3"/>
    <mergeCell ref="B4:F4"/>
  </mergeCells>
  <pageMargins left="0.25" right="0.25" top="0.75" bottom="0.75" header="0.3" footer="0.3"/>
  <pageSetup scale="89" orientation="landscape" r:id="rId1"/>
  <headerFooter>
    <oddHeader>&amp;C&amp;"Arial,Bold"&amp;14Reserve Items Analysis - Example&amp;KFF0000*&amp;"Arial,Regular"&amp;10&amp;K000000
Version: 1.20</oddHeader>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view="pageLayout" zoomScaleNormal="91" workbookViewId="0">
      <selection activeCell="H37" sqref="H37"/>
    </sheetView>
  </sheetViews>
  <sheetFormatPr defaultColWidth="8.90625" defaultRowHeight="12.5" x14ac:dyDescent="0.25"/>
  <cols>
    <col min="1" max="1" width="23.36328125" style="40" customWidth="1"/>
    <col min="2" max="2" width="7.54296875" style="40" customWidth="1"/>
    <col min="3" max="3" width="7.453125" style="40" customWidth="1"/>
    <col min="4" max="4" width="9.08984375" style="40" customWidth="1"/>
    <col min="5" max="5" width="15.90625" style="40" customWidth="1"/>
    <col min="6" max="6" width="13.6328125" style="40" customWidth="1"/>
    <col min="7" max="7" width="14" style="40" customWidth="1"/>
    <col min="8" max="9" width="13" style="40" customWidth="1"/>
    <col min="10" max="10" width="11.36328125" style="40" customWidth="1"/>
    <col min="11" max="11" width="14.6328125" style="40" customWidth="1"/>
    <col min="12" max="12" width="15.36328125" style="40" customWidth="1"/>
    <col min="13" max="13" width="8.90625" style="40"/>
    <col min="14" max="14" width="0" style="40" hidden="1" customWidth="1"/>
    <col min="15" max="16384" width="8.90625" style="40"/>
  </cols>
  <sheetData>
    <row r="1" spans="1:12" ht="16" x14ac:dyDescent="0.4">
      <c r="A1" s="113" t="s">
        <v>8</v>
      </c>
      <c r="B1" s="347" t="s">
        <v>51</v>
      </c>
      <c r="C1" s="347"/>
      <c r="D1" s="347"/>
      <c r="E1" s="347"/>
      <c r="F1" s="37" t="s">
        <v>9</v>
      </c>
      <c r="G1" s="170" t="s">
        <v>46</v>
      </c>
      <c r="H1" s="113"/>
      <c r="I1" s="337" t="s">
        <v>4</v>
      </c>
      <c r="J1" s="337"/>
      <c r="K1" s="171">
        <v>42004</v>
      </c>
      <c r="L1" s="39"/>
    </row>
    <row r="2" spans="1:12" ht="16" x14ac:dyDescent="0.4">
      <c r="A2" s="113" t="s">
        <v>10</v>
      </c>
      <c r="B2" s="172">
        <v>64</v>
      </c>
      <c r="C2" s="69"/>
      <c r="D2" s="69"/>
      <c r="E2" s="69"/>
      <c r="F2" s="68"/>
      <c r="G2" s="70"/>
      <c r="H2" s="337" t="s">
        <v>11</v>
      </c>
      <c r="I2" s="339"/>
      <c r="J2" s="173">
        <v>42185</v>
      </c>
      <c r="K2" s="68"/>
      <c r="L2" s="39"/>
    </row>
    <row r="3" spans="1:12" ht="13.5" x14ac:dyDescent="0.35">
      <c r="A3" s="344" t="s">
        <v>31</v>
      </c>
      <c r="B3" s="344"/>
      <c r="C3" s="344"/>
      <c r="D3" s="45">
        <f>IF(ISERROR(Reserve_Analysis3[[#Totals],[Annual  Payment Amount]]/12/$B$2),"",Reserve_Analysis3[[#Totals],[Annual  Payment Amount]]/12/$B$2)</f>
        <v>71.816948784722214</v>
      </c>
      <c r="E3" s="71"/>
      <c r="F3" s="344" t="s">
        <v>32</v>
      </c>
      <c r="G3" s="344"/>
      <c r="H3" s="344"/>
      <c r="I3" s="344"/>
      <c r="J3" s="45">
        <f>IF(ISERROR(Reserve_Analysis3[[#Totals],[Annual Replac. Cost]]/12/$B$2),"",Reserve_Analysis3[[#Totals],[Annual Replac. Cost]]/12/$B$2)</f>
        <v>95.717296006944437</v>
      </c>
      <c r="K3" s="68"/>
      <c r="L3" s="39"/>
    </row>
    <row r="4" spans="1:12" ht="13.5" x14ac:dyDescent="0.35">
      <c r="A4" s="46"/>
      <c r="B4" s="348"/>
      <c r="C4" s="348"/>
      <c r="D4" s="348"/>
      <c r="E4" s="348"/>
      <c r="F4" s="348"/>
      <c r="G4" s="43"/>
      <c r="H4" s="47"/>
      <c r="I4" s="47"/>
      <c r="J4" s="39"/>
      <c r="K4" s="48"/>
      <c r="L4" s="49"/>
    </row>
    <row r="5" spans="1:12" ht="40.5" x14ac:dyDescent="0.35">
      <c r="A5" s="174" t="s">
        <v>33</v>
      </c>
      <c r="B5" s="175" t="s">
        <v>12</v>
      </c>
      <c r="C5" s="176" t="s">
        <v>34</v>
      </c>
      <c r="D5" s="176" t="s">
        <v>35</v>
      </c>
      <c r="E5" s="176" t="s">
        <v>13</v>
      </c>
      <c r="F5" s="176" t="s">
        <v>36</v>
      </c>
      <c r="G5" s="176" t="s">
        <v>37</v>
      </c>
      <c r="H5" s="175" t="s">
        <v>38</v>
      </c>
      <c r="I5" s="176" t="s">
        <v>39</v>
      </c>
      <c r="J5" s="176" t="s">
        <v>14</v>
      </c>
      <c r="K5" s="175" t="s">
        <v>40</v>
      </c>
      <c r="L5" s="177" t="s">
        <v>41</v>
      </c>
    </row>
    <row r="6" spans="1:12" ht="13.5" x14ac:dyDescent="0.35">
      <c r="A6" s="54" t="s">
        <v>42</v>
      </c>
      <c r="B6" s="75">
        <v>5</v>
      </c>
      <c r="C6" s="75">
        <v>5</v>
      </c>
      <c r="D6" s="56">
        <f>IFERROR(Reserve_Analysis3[[#This Row],[Useful Life]]-Reserve_Analysis3[[#This Row],[Yrs. in Use]],"")</f>
        <v>0</v>
      </c>
      <c r="E6" s="75">
        <v>10000</v>
      </c>
      <c r="F6" s="57">
        <f>IFERROR(Reserve_Analysis3[[#This Row],[Replac. Cost]]/Reserve_Analysis3[[#This Row],[Useful Life]],"")</f>
        <v>2000</v>
      </c>
      <c r="G6" s="57">
        <f>IFERROR(Reserve_Analysis3[[#This Row],[Yrs. in Use]]*Reserve_Analysis3[[#This Row],[Annual  Payment Amount]],"")</f>
        <v>10000</v>
      </c>
      <c r="H6" s="76">
        <v>10000</v>
      </c>
      <c r="I6" s="58">
        <f>IFERROR(Reserve_Analysis3[[#This Row],[Actual Reserves ]]-Reserve_Analysis3[[#This Row],[Required Reserves]],"")</f>
        <v>0</v>
      </c>
      <c r="J6" s="59">
        <f>IFERROR(Reserve_Analysis3[[#This Row],[Actual Reserves ]]/Reserve_Analysis3[[#This Row],[Required Reserves]],"")</f>
        <v>1</v>
      </c>
      <c r="K6" s="57">
        <f>IF(Reserve_Analysis3[[#This Row],[Actual Reserves ]]&gt;= Reserve_Analysis3[[#This Row],[Replac. Cost]],0,Reserve_Analysis3[[#This Row],[Replac. Cost]]-Reserve_Analysis3[[#This Row],[Actual Reserves ]])</f>
        <v>0</v>
      </c>
      <c r="L6"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7" spans="1:12" ht="13.5" x14ac:dyDescent="0.35">
      <c r="A7" s="54" t="s">
        <v>45</v>
      </c>
      <c r="B7" s="75">
        <v>20</v>
      </c>
      <c r="C7" s="75">
        <v>17</v>
      </c>
      <c r="D7" s="56">
        <f>IFERROR(Reserve_Analysis3[[#This Row],[Useful Life]]-Reserve_Analysis3[[#This Row],[Yrs. in Use]],"")</f>
        <v>3</v>
      </c>
      <c r="E7" s="75">
        <v>350000</v>
      </c>
      <c r="F7" s="57">
        <f>IFERROR(Reserve_Analysis3[[#This Row],[Replac. Cost]]/Reserve_Analysis3[[#This Row],[Useful Life]],"")</f>
        <v>17500</v>
      </c>
      <c r="G7" s="57">
        <f>IFERROR(Reserve_Analysis3[[#This Row],[Yrs. in Use]]*Reserve_Analysis3[[#This Row],[Annual  Payment Amount]],"")</f>
        <v>297500</v>
      </c>
      <c r="H7" s="76">
        <v>265456</v>
      </c>
      <c r="I7" s="58">
        <f>IFERROR(Reserve_Analysis3[[#This Row],[Actual Reserves ]]-Reserve_Analysis3[[#This Row],[Required Reserves]],"")</f>
        <v>-32044</v>
      </c>
      <c r="J7" s="59">
        <f>IFERROR(Reserve_Analysis3[[#This Row],[Actual Reserves ]]/Reserve_Analysis3[[#This Row],[Required Reserves]],"")</f>
        <v>0.89228907563025206</v>
      </c>
      <c r="K7" s="57">
        <f>IF(Reserve_Analysis3[[#This Row],[Actual Reserves ]]&gt;= Reserve_Analysis3[[#This Row],[Replac. Cost]],0,Reserve_Analysis3[[#This Row],[Replac. Cost]]-Reserve_Analysis3[[#This Row],[Actual Reserves ]])</f>
        <v>84544</v>
      </c>
      <c r="L7"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28181.333333333332</v>
      </c>
    </row>
    <row r="8" spans="1:12" ht="13.5" x14ac:dyDescent="0.35">
      <c r="A8" s="54" t="s">
        <v>44</v>
      </c>
      <c r="B8" s="75">
        <v>10</v>
      </c>
      <c r="C8" s="75">
        <v>5</v>
      </c>
      <c r="D8" s="56">
        <f>IFERROR(Reserve_Analysis3[[#This Row],[Useful Life]]-Reserve_Analysis3[[#This Row],[Yrs. in Use]],"")</f>
        <v>5</v>
      </c>
      <c r="E8" s="75">
        <v>180000</v>
      </c>
      <c r="F8" s="57">
        <f>IFERROR(Reserve_Analysis3[[#This Row],[Replac. Cost]]/Reserve_Analysis3[[#This Row],[Useful Life]],"")</f>
        <v>18000</v>
      </c>
      <c r="G8" s="57">
        <f>IFERROR(Reserve_Analysis3[[#This Row],[Yrs. in Use]]*Reserve_Analysis3[[#This Row],[Annual  Payment Amount]],"")</f>
        <v>90000</v>
      </c>
      <c r="H8" s="76">
        <v>67894</v>
      </c>
      <c r="I8" s="58">
        <f>IFERROR(Reserve_Analysis3[[#This Row],[Actual Reserves ]]-Reserve_Analysis3[[#This Row],[Required Reserves]],"")</f>
        <v>-22106</v>
      </c>
      <c r="J8" s="59">
        <f>IFERROR(Reserve_Analysis3[[#This Row],[Actual Reserves ]]/Reserve_Analysis3[[#This Row],[Required Reserves]],"")</f>
        <v>0.75437777777777781</v>
      </c>
      <c r="K8" s="57">
        <f>IF(Reserve_Analysis3[[#This Row],[Actual Reserves ]]&gt;= Reserve_Analysis3[[#This Row],[Replac. Cost]],0,Reserve_Analysis3[[#This Row],[Replac. Cost]]-Reserve_Analysis3[[#This Row],[Actual Reserves ]])</f>
        <v>112106</v>
      </c>
      <c r="L8"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22421.200000000001</v>
      </c>
    </row>
    <row r="9" spans="1:12" ht="16" x14ac:dyDescent="0.4">
      <c r="A9" s="179" t="s">
        <v>52</v>
      </c>
      <c r="B9" s="75">
        <v>8</v>
      </c>
      <c r="C9" s="75">
        <v>4</v>
      </c>
      <c r="D9" s="56">
        <f>IFERROR(Reserve_Analysis3[[#This Row],[Useful Life]]-Reserve_Analysis3[[#This Row],[Yrs. in Use]],"")</f>
        <v>4</v>
      </c>
      <c r="E9" s="75">
        <v>69870</v>
      </c>
      <c r="F9" s="57">
        <f>IFERROR(Reserve_Analysis3[[#This Row],[Replac. Cost]]/Reserve_Analysis3[[#This Row],[Useful Life]],"")</f>
        <v>8733.75</v>
      </c>
      <c r="G9" s="57">
        <f>IFERROR(Reserve_Analysis3[[#This Row],[Yrs. in Use]]*Reserve_Analysis3[[#This Row],[Annual  Payment Amount]],"")</f>
        <v>34935</v>
      </c>
      <c r="H9" s="76">
        <v>33995</v>
      </c>
      <c r="I9" s="58">
        <f>IFERROR(Reserve_Analysis3[[#This Row],[Actual Reserves ]]-Reserve_Analysis3[[#This Row],[Required Reserves]],"")</f>
        <v>-940</v>
      </c>
      <c r="J9" s="59">
        <f>IFERROR(Reserve_Analysis3[[#This Row],[Actual Reserves ]]/Reserve_Analysis3[[#This Row],[Required Reserves]],"")</f>
        <v>0.97309288678975236</v>
      </c>
      <c r="K9" s="57">
        <f>IF(Reserve_Analysis3[[#This Row],[Actual Reserves ]]&gt;= Reserve_Analysis3[[#This Row],[Replac. Cost]],0,Reserve_Analysis3[[#This Row],[Replac. Cost]]-Reserve_Analysis3[[#This Row],[Actual Reserves ]])</f>
        <v>35875</v>
      </c>
      <c r="L9"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8968.75</v>
      </c>
    </row>
    <row r="10" spans="1:12" ht="16" x14ac:dyDescent="0.4">
      <c r="A10" s="179" t="s">
        <v>53</v>
      </c>
      <c r="B10" s="75">
        <v>10</v>
      </c>
      <c r="C10" s="75">
        <v>5</v>
      </c>
      <c r="D10" s="56">
        <f>IFERROR(Reserve_Analysis3[[#This Row],[Useful Life]]-Reserve_Analysis3[[#This Row],[Yrs. in Use]],"")</f>
        <v>5</v>
      </c>
      <c r="E10" s="75">
        <v>45000</v>
      </c>
      <c r="F10" s="57">
        <f>IFERROR(Reserve_Analysis3[[#This Row],[Replac. Cost]]/Reserve_Analysis3[[#This Row],[Useful Life]],"")</f>
        <v>4500</v>
      </c>
      <c r="G10" s="57">
        <f>IFERROR(Reserve_Analysis3[[#This Row],[Yrs. in Use]]*Reserve_Analysis3[[#This Row],[Annual  Payment Amount]],"")</f>
        <v>22500</v>
      </c>
      <c r="H10" s="76">
        <v>21687</v>
      </c>
      <c r="I10" s="58">
        <f>IFERROR(Reserve_Analysis3[[#This Row],[Actual Reserves ]]-Reserve_Analysis3[[#This Row],[Required Reserves]],"")</f>
        <v>-813</v>
      </c>
      <c r="J10" s="59">
        <f>IFERROR(Reserve_Analysis3[[#This Row],[Actual Reserves ]]/Reserve_Analysis3[[#This Row],[Required Reserves]],"")</f>
        <v>0.96386666666666665</v>
      </c>
      <c r="K10" s="57">
        <f>IF(Reserve_Analysis3[[#This Row],[Actual Reserves ]]&gt;= Reserve_Analysis3[[#This Row],[Replac. Cost]],0,Reserve_Analysis3[[#This Row],[Replac. Cost]]-Reserve_Analysis3[[#This Row],[Actual Reserves ]])</f>
        <v>23313</v>
      </c>
      <c r="L10"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4662.6000000000004</v>
      </c>
    </row>
    <row r="11" spans="1:12" ht="16" x14ac:dyDescent="0.4">
      <c r="A11" s="179" t="s">
        <v>54</v>
      </c>
      <c r="B11" s="75">
        <v>30</v>
      </c>
      <c r="C11" s="75">
        <v>15</v>
      </c>
      <c r="D11" s="56">
        <f>IFERROR(Reserve_Analysis3[[#This Row],[Useful Life]]-Reserve_Analysis3[[#This Row],[Yrs. in Use]],"")</f>
        <v>15</v>
      </c>
      <c r="E11" s="75">
        <v>62150</v>
      </c>
      <c r="F11" s="57">
        <f>IFERROR(Reserve_Analysis3[[#This Row],[Replac. Cost]]/Reserve_Analysis3[[#This Row],[Useful Life]],"")</f>
        <v>2071.6666666666665</v>
      </c>
      <c r="G11" s="57">
        <f>IFERROR(Reserve_Analysis3[[#This Row],[Yrs. in Use]]*Reserve_Analysis3[[#This Row],[Annual  Payment Amount]],"")</f>
        <v>31074.999999999996</v>
      </c>
      <c r="H11" s="76">
        <v>28745</v>
      </c>
      <c r="I11" s="58">
        <f>IFERROR(Reserve_Analysis3[[#This Row],[Actual Reserves ]]-Reserve_Analysis3[[#This Row],[Required Reserves]],"")</f>
        <v>-2329.9999999999964</v>
      </c>
      <c r="J11" s="59">
        <f>IFERROR(Reserve_Analysis3[[#This Row],[Actual Reserves ]]/Reserve_Analysis3[[#This Row],[Required Reserves]],"")</f>
        <v>0.92502011263073225</v>
      </c>
      <c r="K11" s="57">
        <f>IF(Reserve_Analysis3[[#This Row],[Actual Reserves ]]&gt;= Reserve_Analysis3[[#This Row],[Replac. Cost]],0,Reserve_Analysis3[[#This Row],[Replac. Cost]]-Reserve_Analysis3[[#This Row],[Actual Reserves ]])</f>
        <v>33405</v>
      </c>
      <c r="L11"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2227</v>
      </c>
    </row>
    <row r="12" spans="1:12" ht="16" x14ac:dyDescent="0.4">
      <c r="A12" s="179" t="s">
        <v>55</v>
      </c>
      <c r="B12" s="75">
        <v>15</v>
      </c>
      <c r="C12" s="180">
        <v>15</v>
      </c>
      <c r="D12" s="56">
        <f>IFERROR(Reserve_Analysis3[[#This Row],[Useful Life]]-Reserve_Analysis3[[#This Row],[Yrs. in Use]],"")</f>
        <v>0</v>
      </c>
      <c r="E12" s="75">
        <v>35250</v>
      </c>
      <c r="F12" s="65">
        <f>IFERROR(Reserve_Analysis3[[#This Row],[Replac. Cost]]/Reserve_Analysis3[[#This Row],[Useful Life]],"")</f>
        <v>2350</v>
      </c>
      <c r="G12" s="57">
        <f>IFERROR(Reserve_Analysis3[[#This Row],[Yrs. in Use]]*Reserve_Analysis3[[#This Row],[Annual  Payment Amount]],"")</f>
        <v>35250</v>
      </c>
      <c r="H12" s="169">
        <v>0</v>
      </c>
      <c r="I12" s="58">
        <f>IFERROR(Reserve_Analysis3[[#This Row],[Actual Reserves ]]-Reserve_Analysis3[[#This Row],[Required Reserves]],"")</f>
        <v>-35250</v>
      </c>
      <c r="J12" s="64">
        <f>IFERROR(Reserve_Analysis3[[#This Row],[Actual Reserves ]]/Reserve_Analysis3[[#This Row],[Required Reserves]],"")</f>
        <v>0</v>
      </c>
      <c r="K12" s="57">
        <f>IF(Reserve_Analysis3[[#This Row],[Actual Reserves ]]&gt;= Reserve_Analysis3[[#This Row],[Replac. Cost]],0,Reserve_Analysis3[[#This Row],[Replac. Cost]]-Reserve_Analysis3[[#This Row],[Actual Reserves ]])</f>
        <v>35250</v>
      </c>
      <c r="L12"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7050</v>
      </c>
    </row>
    <row r="13" spans="1:12" ht="16" x14ac:dyDescent="0.4">
      <c r="A13" s="179"/>
      <c r="B13" s="75"/>
      <c r="C13" s="180"/>
      <c r="D13" s="56">
        <f>IFERROR(Reserve_Analysis3[[#This Row],[Useful Life]]-Reserve_Analysis3[[#This Row],[Yrs. in Use]],"")</f>
        <v>0</v>
      </c>
      <c r="E13" s="75"/>
      <c r="F13" s="65" t="str">
        <f>IFERROR(Reserve_Analysis3[[#This Row],[Replac. Cost]]/Reserve_Analysis3[[#This Row],[Useful Life]],"")</f>
        <v/>
      </c>
      <c r="G13" s="57" t="str">
        <f>IFERROR(Reserve_Analysis3[[#This Row],[Yrs. in Use]]*Reserve_Analysis3[[#This Row],[Annual  Payment Amount]],"")</f>
        <v/>
      </c>
      <c r="H13" s="169"/>
      <c r="I13" s="58" t="str">
        <f>IFERROR(Reserve_Analysis3[[#This Row],[Actual Reserves ]]-Reserve_Analysis3[[#This Row],[Required Reserves]],"")</f>
        <v/>
      </c>
      <c r="J13" s="64" t="str">
        <f>IFERROR(Reserve_Analysis3[[#This Row],[Actual Reserves ]]/Reserve_Analysis3[[#This Row],[Required Reserves]],"")</f>
        <v/>
      </c>
      <c r="K13" s="57">
        <f>IF(Reserve_Analysis3[[#This Row],[Actual Reserves ]]&gt;= Reserve_Analysis3[[#This Row],[Replac. Cost]],0,Reserve_Analysis3[[#This Row],[Replac. Cost]]-Reserve_Analysis3[[#This Row],[Actual Reserves ]])</f>
        <v>0</v>
      </c>
      <c r="L13"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4" spans="1:12" ht="16" x14ac:dyDescent="0.4">
      <c r="A14" s="179"/>
      <c r="B14" s="75"/>
      <c r="C14" s="180"/>
      <c r="D14" s="56">
        <f>IFERROR(Reserve_Analysis3[[#This Row],[Useful Life]]-Reserve_Analysis3[[#This Row],[Yrs. in Use]],"")</f>
        <v>0</v>
      </c>
      <c r="E14" s="75"/>
      <c r="F14" s="65" t="str">
        <f>IFERROR(Reserve_Analysis3[[#This Row],[Replac. Cost]]/Reserve_Analysis3[[#This Row],[Useful Life]],"")</f>
        <v/>
      </c>
      <c r="G14" s="57" t="str">
        <f>IFERROR(Reserve_Analysis3[[#This Row],[Yrs. in Use]]*Reserve_Analysis3[[#This Row],[Annual  Payment Amount]],"")</f>
        <v/>
      </c>
      <c r="H14" s="169"/>
      <c r="I14" s="58" t="str">
        <f>IFERROR(Reserve_Analysis3[[#This Row],[Actual Reserves ]]-Reserve_Analysis3[[#This Row],[Required Reserves]],"")</f>
        <v/>
      </c>
      <c r="J14" s="64" t="str">
        <f>IFERROR(Reserve_Analysis3[[#This Row],[Actual Reserves ]]/Reserve_Analysis3[[#This Row],[Required Reserves]],"")</f>
        <v/>
      </c>
      <c r="K14" s="57">
        <f>IF(Reserve_Analysis3[[#This Row],[Actual Reserves ]]&gt;= Reserve_Analysis3[[#This Row],[Replac. Cost]],0,Reserve_Analysis3[[#This Row],[Replac. Cost]]-Reserve_Analysis3[[#This Row],[Actual Reserves ]])</f>
        <v>0</v>
      </c>
      <c r="L14"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5" spans="1:12" ht="16" x14ac:dyDescent="0.4">
      <c r="A15" s="179"/>
      <c r="B15" s="75"/>
      <c r="C15" s="75"/>
      <c r="D15" s="56">
        <f>IFERROR(Reserve_Analysis3[[#This Row],[Useful Life]]-Reserve_Analysis3[[#This Row],[Yrs. in Use]],"")</f>
        <v>0</v>
      </c>
      <c r="E15" s="75"/>
      <c r="F15" s="57" t="str">
        <f>IFERROR(Reserve_Analysis3[[#This Row],[Replac. Cost]]/Reserve_Analysis3[[#This Row],[Useful Life]],"")</f>
        <v/>
      </c>
      <c r="G15" s="57" t="str">
        <f>IFERROR(Reserve_Analysis3[[#This Row],[Yrs. in Use]]*Reserve_Analysis3[[#This Row],[Annual  Payment Amount]],"")</f>
        <v/>
      </c>
      <c r="H15" s="76"/>
      <c r="I15" s="58" t="str">
        <f>IFERROR(Reserve_Analysis3[[#This Row],[Actual Reserves ]]-Reserve_Analysis3[[#This Row],[Required Reserves]],"")</f>
        <v/>
      </c>
      <c r="J15" s="59" t="str">
        <f>IFERROR(Reserve_Analysis3[[#This Row],[Actual Reserves ]]/Reserve_Analysis3[[#This Row],[Required Reserves]],"")</f>
        <v/>
      </c>
      <c r="K15" s="57">
        <f>IF(Reserve_Analysis3[[#This Row],[Actual Reserves ]]&gt;= Reserve_Analysis3[[#This Row],[Replac. Cost]],0,Reserve_Analysis3[[#This Row],[Replac. Cost]]-Reserve_Analysis3[[#This Row],[Actual Reserves ]])</f>
        <v>0</v>
      </c>
      <c r="L15"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6" spans="1:12" ht="16" x14ac:dyDescent="0.4">
      <c r="A16" s="179"/>
      <c r="B16" s="75"/>
      <c r="C16" s="75"/>
      <c r="D16" s="56">
        <f>IFERROR(Reserve_Analysis3[[#This Row],[Useful Life]]-Reserve_Analysis3[[#This Row],[Yrs. in Use]],"")</f>
        <v>0</v>
      </c>
      <c r="E16" s="75"/>
      <c r="F16" s="57" t="str">
        <f>IFERROR(Reserve_Analysis3[[#This Row],[Replac. Cost]]/Reserve_Analysis3[[#This Row],[Useful Life]],"")</f>
        <v/>
      </c>
      <c r="G16" s="57" t="str">
        <f>IFERROR(Reserve_Analysis3[[#This Row],[Yrs. in Use]]*Reserve_Analysis3[[#This Row],[Annual  Payment Amount]],"")</f>
        <v/>
      </c>
      <c r="H16" s="76"/>
      <c r="I16" s="58" t="str">
        <f>IFERROR(Reserve_Analysis3[[#This Row],[Actual Reserves ]]-Reserve_Analysis3[[#This Row],[Required Reserves]],"")</f>
        <v/>
      </c>
      <c r="J16" s="59" t="str">
        <f>IFERROR(Reserve_Analysis3[[#This Row],[Actual Reserves ]]/Reserve_Analysis3[[#This Row],[Required Reserves]],"")</f>
        <v/>
      </c>
      <c r="K16" s="57">
        <f>IF(Reserve_Analysis3[[#This Row],[Actual Reserves ]]&gt;= Reserve_Analysis3[[#This Row],[Replac. Cost]],0,Reserve_Analysis3[[#This Row],[Replac. Cost]]-Reserve_Analysis3[[#This Row],[Actual Reserves ]])</f>
        <v>0</v>
      </c>
      <c r="L16"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7" spans="1:12" ht="16" x14ac:dyDescent="0.4">
      <c r="A17" s="179"/>
      <c r="B17" s="75"/>
      <c r="C17" s="75"/>
      <c r="D17" s="56">
        <f>IFERROR(Reserve_Analysis3[[#This Row],[Useful Life]]-Reserve_Analysis3[[#This Row],[Yrs. in Use]],"")</f>
        <v>0</v>
      </c>
      <c r="E17" s="75"/>
      <c r="F17" s="57" t="str">
        <f>IFERROR(Reserve_Analysis3[[#This Row],[Replac. Cost]]/Reserve_Analysis3[[#This Row],[Useful Life]],"")</f>
        <v/>
      </c>
      <c r="G17" s="57" t="str">
        <f>IFERROR(Reserve_Analysis3[[#This Row],[Yrs. in Use]]*Reserve_Analysis3[[#This Row],[Annual  Payment Amount]],"")</f>
        <v/>
      </c>
      <c r="H17" s="76"/>
      <c r="I17" s="58" t="str">
        <f>IFERROR(Reserve_Analysis3[[#This Row],[Actual Reserves ]]-Reserve_Analysis3[[#This Row],[Required Reserves]],"")</f>
        <v/>
      </c>
      <c r="J17" s="59" t="str">
        <f>IFERROR(Reserve_Analysis3[[#This Row],[Actual Reserves ]]/Reserve_Analysis3[[#This Row],[Required Reserves]],"")</f>
        <v/>
      </c>
      <c r="K17" s="57">
        <f>IF(Reserve_Analysis3[[#This Row],[Actual Reserves ]]&gt;= Reserve_Analysis3[[#This Row],[Replac. Cost]],0,Reserve_Analysis3[[#This Row],[Replac. Cost]]-Reserve_Analysis3[[#This Row],[Actual Reserves ]])</f>
        <v>0</v>
      </c>
      <c r="L17"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8" spans="1:12" ht="16" x14ac:dyDescent="0.4">
      <c r="A18" s="179"/>
      <c r="B18" s="75"/>
      <c r="C18" s="75"/>
      <c r="D18" s="56">
        <f>IFERROR(Reserve_Analysis3[[#This Row],[Useful Life]]-Reserve_Analysis3[[#This Row],[Yrs. in Use]],"")</f>
        <v>0</v>
      </c>
      <c r="E18" s="75"/>
      <c r="F18" s="57" t="str">
        <f>IFERROR(Reserve_Analysis3[[#This Row],[Replac. Cost]]/Reserve_Analysis3[[#This Row],[Useful Life]],"")</f>
        <v/>
      </c>
      <c r="G18" s="57" t="str">
        <f>IFERROR(Reserve_Analysis3[[#This Row],[Yrs. in Use]]*Reserve_Analysis3[[#This Row],[Annual  Payment Amount]],"")</f>
        <v/>
      </c>
      <c r="H18" s="76"/>
      <c r="I18" s="58" t="str">
        <f>IFERROR(Reserve_Analysis3[[#This Row],[Actual Reserves ]]-Reserve_Analysis3[[#This Row],[Required Reserves]],"")</f>
        <v/>
      </c>
      <c r="J18" s="59" t="str">
        <f>IFERROR(Reserve_Analysis3[[#This Row],[Actual Reserves ]]/Reserve_Analysis3[[#This Row],[Required Reserves]],"")</f>
        <v/>
      </c>
      <c r="K18" s="57">
        <f>IF(Reserve_Analysis3[[#This Row],[Actual Reserves ]]&gt;= Reserve_Analysis3[[#This Row],[Replac. Cost]],0,Reserve_Analysis3[[#This Row],[Replac. Cost]]-Reserve_Analysis3[[#This Row],[Actual Reserves ]])</f>
        <v>0</v>
      </c>
      <c r="L18"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9" spans="1:12" ht="16" x14ac:dyDescent="0.4">
      <c r="A19" s="179"/>
      <c r="B19" s="75"/>
      <c r="C19" s="75"/>
      <c r="D19" s="56">
        <f>IFERROR(Reserve_Analysis3[[#This Row],[Useful Life]]-Reserve_Analysis3[[#This Row],[Yrs. in Use]],"")</f>
        <v>0</v>
      </c>
      <c r="E19" s="75"/>
      <c r="F19" s="57" t="str">
        <f>IFERROR(Reserve_Analysis3[[#This Row],[Replac. Cost]]/Reserve_Analysis3[[#This Row],[Useful Life]],"")</f>
        <v/>
      </c>
      <c r="G19" s="57" t="str">
        <f>IFERROR(Reserve_Analysis3[[#This Row],[Yrs. in Use]]*Reserve_Analysis3[[#This Row],[Annual  Payment Amount]],"")</f>
        <v/>
      </c>
      <c r="H19" s="76"/>
      <c r="I19" s="58" t="str">
        <f>IFERROR(Reserve_Analysis3[[#This Row],[Actual Reserves ]]-Reserve_Analysis3[[#This Row],[Required Reserves]],"")</f>
        <v/>
      </c>
      <c r="J19" s="59" t="str">
        <f>IFERROR(Reserve_Analysis3[[#This Row],[Actual Reserves ]]/Reserve_Analysis3[[#This Row],[Required Reserves]],"")</f>
        <v/>
      </c>
      <c r="K19" s="57">
        <f>IF(Reserve_Analysis3[[#This Row],[Actual Reserves ]]&gt;= Reserve_Analysis3[[#This Row],[Replac. Cost]],0,Reserve_Analysis3[[#This Row],[Replac. Cost]]-Reserve_Analysis3[[#This Row],[Actual Reserves ]])</f>
        <v>0</v>
      </c>
      <c r="L19" s="17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20" spans="1:12" ht="13.5" x14ac:dyDescent="0.35">
      <c r="A20" s="181"/>
      <c r="B20" s="182"/>
      <c r="C20" s="182"/>
      <c r="D20" s="78" t="s">
        <v>15</v>
      </c>
      <c r="E20" s="60">
        <f>SUBTOTAL(109,Reserve_Analysis3[Replac. Cost])</f>
        <v>752270</v>
      </c>
      <c r="F20" s="61">
        <f>SUBTOTAL(109,Reserve_Analysis3[Annual  Payment Amount])</f>
        <v>55155.416666666664</v>
      </c>
      <c r="G20" s="61">
        <f>SUBTOTAL(109,Reserve_Analysis3[Required Reserves])</f>
        <v>521260</v>
      </c>
      <c r="H20" s="61">
        <f>SUBTOTAL(109,Reserve_Analysis3[[Actual Reserves ]])</f>
        <v>427777</v>
      </c>
      <c r="I20" s="61">
        <f>SUBTOTAL(109,Reserve_Analysis3[Adequate / (Shortage)])</f>
        <v>-93483</v>
      </c>
      <c r="J20" s="183">
        <f>IF(ISERROR(Reserve_Analysis3[[#Totals],[Actual Reserves ]]/Reserve_Analysis3[[#Totals],[Required Reserves]]),"",H20/G20)</f>
        <v>0.82065955569197713</v>
      </c>
      <c r="K20" s="61">
        <f>SUBTOTAL(109,Reserve_Analysis3[Amount to Fund Replac. ])</f>
        <v>324493</v>
      </c>
      <c r="L20" s="184">
        <f>SUBTOTAL(109,Reserve_Analysis3[Annual Replac. Cost])</f>
        <v>73510.883333333331</v>
      </c>
    </row>
    <row r="21" spans="1:12" ht="13.5" x14ac:dyDescent="0.35">
      <c r="A21" s="62"/>
      <c r="B21" s="47"/>
      <c r="C21" s="42"/>
      <c r="D21" s="42"/>
      <c r="E21" s="42"/>
      <c r="F21" s="39"/>
      <c r="G21" s="43"/>
      <c r="H21" s="47"/>
      <c r="I21" s="47"/>
      <c r="J21" s="39"/>
      <c r="K21" s="39"/>
      <c r="L21" s="39"/>
    </row>
    <row r="22" spans="1:12" ht="12.75" customHeight="1" x14ac:dyDescent="0.25">
      <c r="A22" s="335" t="s">
        <v>78</v>
      </c>
      <c r="B22" s="335"/>
      <c r="C22" s="335"/>
      <c r="D22" s="335"/>
      <c r="E22" s="335"/>
      <c r="F22" s="335"/>
      <c r="G22" s="335"/>
      <c r="H22" s="335"/>
      <c r="I22" s="335"/>
      <c r="J22" s="335"/>
      <c r="K22" s="335"/>
      <c r="L22" s="335"/>
    </row>
    <row r="23" spans="1:12" ht="12.75" customHeight="1" x14ac:dyDescent="0.25">
      <c r="A23" s="335"/>
      <c r="B23" s="335"/>
      <c r="C23" s="335"/>
      <c r="D23" s="335"/>
      <c r="E23" s="335"/>
      <c r="F23" s="335"/>
      <c r="G23" s="335"/>
      <c r="H23" s="335"/>
      <c r="I23" s="335"/>
      <c r="J23" s="335"/>
      <c r="K23" s="335"/>
      <c r="L23" s="335"/>
    </row>
    <row r="24" spans="1:12" ht="12.75" customHeight="1" x14ac:dyDescent="0.25">
      <c r="A24" s="335"/>
      <c r="B24" s="335"/>
      <c r="C24" s="335"/>
      <c r="D24" s="335"/>
      <c r="E24" s="335"/>
      <c r="F24" s="335"/>
      <c r="G24" s="335"/>
      <c r="H24" s="335"/>
      <c r="I24" s="335"/>
      <c r="J24" s="335"/>
      <c r="K24" s="335"/>
      <c r="L24" s="335"/>
    </row>
    <row r="25" spans="1:12" ht="12.75" customHeight="1" x14ac:dyDescent="0.25">
      <c r="A25" s="335"/>
      <c r="B25" s="335"/>
      <c r="C25" s="335"/>
      <c r="D25" s="335"/>
      <c r="E25" s="335"/>
      <c r="F25" s="335"/>
      <c r="G25" s="335"/>
      <c r="H25" s="335"/>
      <c r="I25" s="335"/>
      <c r="J25" s="335"/>
      <c r="K25" s="335"/>
      <c r="L25" s="335"/>
    </row>
    <row r="26" spans="1:12" ht="16.5" customHeight="1" x14ac:dyDescent="0.25">
      <c r="A26" s="335"/>
      <c r="B26" s="335"/>
      <c r="C26" s="335"/>
      <c r="D26" s="335"/>
      <c r="E26" s="335"/>
      <c r="F26" s="335"/>
      <c r="G26" s="335"/>
      <c r="H26" s="335"/>
      <c r="I26" s="335"/>
      <c r="J26" s="335"/>
      <c r="K26" s="335"/>
      <c r="L26" s="335"/>
    </row>
    <row r="27" spans="1:12" ht="12.75" customHeight="1" x14ac:dyDescent="0.25">
      <c r="A27" s="63"/>
      <c r="B27" s="63"/>
      <c r="C27" s="63"/>
      <c r="D27" s="63"/>
      <c r="E27" s="63"/>
      <c r="F27" s="63"/>
      <c r="G27" s="63"/>
      <c r="H27" s="63"/>
      <c r="I27" s="63"/>
      <c r="J27" s="63"/>
      <c r="K27" s="63"/>
      <c r="L27" s="63"/>
    </row>
    <row r="28" spans="1:12" ht="12.75" customHeight="1" x14ac:dyDescent="0.25">
      <c r="A28" s="335" t="s">
        <v>43</v>
      </c>
      <c r="B28" s="335"/>
      <c r="C28" s="335"/>
      <c r="D28" s="335"/>
      <c r="E28" s="335"/>
      <c r="F28" s="335"/>
      <c r="G28" s="335"/>
      <c r="H28" s="335"/>
      <c r="I28" s="335"/>
      <c r="J28" s="335"/>
      <c r="K28" s="335"/>
      <c r="L28" s="335"/>
    </row>
    <row r="29" spans="1:12" ht="12.75" customHeight="1" x14ac:dyDescent="0.25">
      <c r="A29" s="335"/>
      <c r="B29" s="335"/>
      <c r="C29" s="335"/>
      <c r="D29" s="335"/>
      <c r="E29" s="335"/>
      <c r="F29" s="335"/>
      <c r="G29" s="335"/>
      <c r="H29" s="335"/>
      <c r="I29" s="335"/>
      <c r="J29" s="335"/>
      <c r="K29" s="335"/>
      <c r="L29" s="335"/>
    </row>
    <row r="30" spans="1:12" ht="12.75" customHeight="1" x14ac:dyDescent="0.25">
      <c r="A30" s="335"/>
      <c r="B30" s="335"/>
      <c r="C30" s="335"/>
      <c r="D30" s="335"/>
      <c r="E30" s="335"/>
      <c r="F30" s="335"/>
      <c r="G30" s="335"/>
      <c r="H30" s="335"/>
      <c r="I30" s="335"/>
      <c r="J30" s="335"/>
      <c r="K30" s="335"/>
      <c r="L30" s="335"/>
    </row>
    <row r="31" spans="1:12" ht="13.25" customHeight="1" x14ac:dyDescent="0.25">
      <c r="A31" s="335"/>
      <c r="B31" s="335"/>
      <c r="C31" s="335"/>
      <c r="D31" s="335"/>
      <c r="E31" s="335"/>
      <c r="F31" s="335"/>
      <c r="G31" s="335"/>
      <c r="H31" s="335"/>
      <c r="I31" s="335"/>
      <c r="J31" s="335"/>
      <c r="K31" s="335"/>
      <c r="L31" s="335"/>
    </row>
    <row r="32" spans="1:12" x14ac:dyDescent="0.25">
      <c r="A32" s="335"/>
      <c r="B32" s="335"/>
      <c r="C32" s="335"/>
      <c r="D32" s="335"/>
      <c r="E32" s="335"/>
      <c r="F32" s="335"/>
      <c r="G32" s="335"/>
      <c r="H32" s="335"/>
      <c r="I32" s="335"/>
      <c r="J32" s="335"/>
      <c r="K32" s="335"/>
      <c r="L32" s="335"/>
    </row>
  </sheetData>
  <sheetProtection algorithmName="SHA-512" hashValue="IajftP97jLPmCgJHNk53ql6MR7dkp2aWhkBc1uZy65eKIHNqMhIa5wsvKuqvXffS3/nd3gsryw09kwWu3QvHPQ==" saltValue="gopLMlxkqJ2uANF0xhl+mQ==" spinCount="100000" sheet="1" objects="1" scenarios="1" selectLockedCells="1" selectUnlockedCells="1"/>
  <mergeCells count="8">
    <mergeCell ref="A22:L26"/>
    <mergeCell ref="A28:L32"/>
    <mergeCell ref="B1:E1"/>
    <mergeCell ref="I1:J1"/>
    <mergeCell ref="H2:I2"/>
    <mergeCell ref="A3:C3"/>
    <mergeCell ref="F3:I3"/>
    <mergeCell ref="B4:F4"/>
  </mergeCells>
  <pageMargins left="0.25" right="0.25" top="0.75" bottom="0.75" header="0.3" footer="0.3"/>
  <pageSetup scale="86" orientation="landscape" r:id="rId1"/>
  <headerFooter>
    <oddHeader>&amp;C&amp;"Arial,Bold"&amp;14Reserve Items Analysis&amp;KFF0000*&amp;"Arial,Regular"&amp;10&amp;K000000
Version: 1.10</oddHead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view="pageLayout" zoomScaleNormal="91" workbookViewId="0">
      <selection activeCell="A28" sqref="A28"/>
    </sheetView>
  </sheetViews>
  <sheetFormatPr defaultColWidth="8.90625" defaultRowHeight="12.5" x14ac:dyDescent="0.25"/>
  <cols>
    <col min="1" max="1" width="23.36328125" style="40" customWidth="1"/>
    <col min="2" max="2" width="13.08984375" style="40" customWidth="1"/>
    <col min="3" max="3" width="11.08984375" style="40" customWidth="1"/>
    <col min="4" max="4" width="14.6328125" style="40" customWidth="1"/>
    <col min="5" max="5" width="15.90625" style="40" customWidth="1"/>
    <col min="6" max="6" width="13.6328125" style="40" customWidth="1"/>
    <col min="7" max="7" width="14" style="40" customWidth="1"/>
    <col min="8" max="9" width="13" style="40" customWidth="1"/>
    <col min="10" max="10" width="11.36328125" style="40" customWidth="1"/>
    <col min="11" max="11" width="14.6328125" style="40" customWidth="1"/>
    <col min="12" max="12" width="15.36328125" style="40" customWidth="1"/>
    <col min="13" max="13" width="8.90625" style="40"/>
    <col min="14" max="14" width="0" style="40" hidden="1" customWidth="1"/>
    <col min="15" max="16384" width="8.90625" style="40"/>
  </cols>
  <sheetData>
    <row r="1" spans="1:12" ht="13.5" x14ac:dyDescent="0.35">
      <c r="A1" s="256" t="s">
        <v>8</v>
      </c>
      <c r="B1" s="336" t="s">
        <v>86</v>
      </c>
      <c r="C1" s="336"/>
      <c r="D1" s="336"/>
      <c r="E1" s="336"/>
      <c r="F1" s="37"/>
      <c r="G1" s="337" t="s">
        <v>80</v>
      </c>
      <c r="H1" s="337"/>
      <c r="I1" s="265">
        <v>42655</v>
      </c>
      <c r="J1" s="267"/>
      <c r="K1" s="270"/>
      <c r="L1" s="68"/>
    </row>
    <row r="2" spans="1:12" ht="13.5" x14ac:dyDescent="0.35">
      <c r="A2" s="256"/>
      <c r="B2" s="266"/>
      <c r="C2" s="266"/>
      <c r="D2" s="266"/>
      <c r="E2" s="266"/>
      <c r="F2" s="37"/>
      <c r="G2" s="255"/>
      <c r="H2" s="255"/>
      <c r="I2" s="267"/>
      <c r="K2" s="258"/>
      <c r="L2" s="68"/>
    </row>
    <row r="3" spans="1:12" ht="13.5" x14ac:dyDescent="0.35">
      <c r="A3" s="256" t="s">
        <v>81</v>
      </c>
      <c r="B3" s="263">
        <f>B27</f>
        <v>313800</v>
      </c>
      <c r="C3" s="338" t="s">
        <v>82</v>
      </c>
      <c r="D3" s="338"/>
      <c r="E3" s="264">
        <v>18500</v>
      </c>
      <c r="F3" s="37"/>
      <c r="G3" s="255"/>
      <c r="H3" s="255"/>
      <c r="I3" s="267"/>
      <c r="J3" s="267"/>
      <c r="K3" s="270"/>
      <c r="L3" s="68"/>
    </row>
    <row r="4" spans="1:12" ht="16" x14ac:dyDescent="0.4">
      <c r="A4" s="256"/>
      <c r="B4" s="268"/>
      <c r="C4" s="69"/>
      <c r="D4" s="69"/>
      <c r="E4" s="69"/>
      <c r="F4" s="68"/>
      <c r="G4" s="70"/>
      <c r="H4" s="337"/>
      <c r="I4" s="339"/>
      <c r="J4" s="271"/>
      <c r="K4" s="68"/>
      <c r="L4" s="68"/>
    </row>
    <row r="5" spans="1:12" ht="27" x14ac:dyDescent="0.35">
      <c r="A5" s="50" t="s">
        <v>33</v>
      </c>
      <c r="B5" s="52" t="s">
        <v>85</v>
      </c>
      <c r="C5" s="52" t="s">
        <v>83</v>
      </c>
      <c r="D5" s="52" t="s">
        <v>84</v>
      </c>
      <c r="F5" s="267"/>
      <c r="G5" s="267"/>
      <c r="H5" s="267"/>
      <c r="I5" s="267"/>
      <c r="J5" s="267"/>
      <c r="K5" s="267"/>
    </row>
    <row r="6" spans="1:12" ht="13.5" x14ac:dyDescent="0.35">
      <c r="A6" s="74" t="s">
        <v>42</v>
      </c>
      <c r="B6" s="75">
        <v>10000</v>
      </c>
      <c r="C6" s="259">
        <f>Reserve_Analysis789[[#This Row],[Replacement Cost]]/B3</f>
        <v>3.1867431485022309E-2</v>
      </c>
      <c r="D6" s="76">
        <f>E3*Reserve_Analysis789[[#This Row],[Ratio Item to Total]]</f>
        <v>589.54748247291275</v>
      </c>
      <c r="F6" s="267"/>
      <c r="G6" s="267"/>
      <c r="H6" s="267"/>
      <c r="I6" s="267"/>
      <c r="J6" s="267"/>
      <c r="K6" s="267"/>
    </row>
    <row r="7" spans="1:12" ht="13.5" x14ac:dyDescent="0.35">
      <c r="A7" s="74" t="s">
        <v>87</v>
      </c>
      <c r="B7" s="75">
        <v>37000</v>
      </c>
      <c r="C7" s="259">
        <f>Reserve_Analysis789[[#This Row],[Replacement Cost]]/B3</f>
        <v>0.11790949649458253</v>
      </c>
      <c r="D7" s="57">
        <f>E3*Reserve_Analysis789[[#This Row],[Ratio Item to Total]]</f>
        <v>2181.3256851497767</v>
      </c>
      <c r="F7" s="267"/>
      <c r="G7" s="267"/>
      <c r="H7" s="267"/>
      <c r="I7" s="267"/>
      <c r="J7" s="267"/>
      <c r="K7" s="267"/>
    </row>
    <row r="8" spans="1:12" ht="13.5" x14ac:dyDescent="0.35">
      <c r="A8" s="74" t="s">
        <v>88</v>
      </c>
      <c r="B8" s="75">
        <v>101000</v>
      </c>
      <c r="C8" s="259">
        <f>Reserve_Analysis789[[#This Row],[Replacement Cost]]/B3</f>
        <v>0.32186105799872528</v>
      </c>
      <c r="D8" s="57">
        <f>E3*Reserve_Analysis789[[#This Row],[Ratio Item to Total]]</f>
        <v>5954.4295729764171</v>
      </c>
      <c r="F8" s="267"/>
      <c r="G8" s="267"/>
      <c r="H8" s="267"/>
      <c r="I8" s="267"/>
      <c r="J8" s="267"/>
      <c r="K8" s="267"/>
    </row>
    <row r="9" spans="1:12" ht="13.5" x14ac:dyDescent="0.35">
      <c r="A9" s="74" t="s">
        <v>89</v>
      </c>
      <c r="B9" s="75">
        <v>100000</v>
      </c>
      <c r="C9" s="259">
        <f>Reserve_Analysis789[[#This Row],[Replacement Cost]]/B3</f>
        <v>0.31867431485022307</v>
      </c>
      <c r="D9" s="57">
        <f>E3*Reserve_Analysis789[[#This Row],[Ratio Item to Total]]</f>
        <v>5895.4748247291272</v>
      </c>
      <c r="F9" s="267"/>
      <c r="G9" s="267"/>
      <c r="H9" s="267"/>
      <c r="I9" s="267"/>
      <c r="J9" s="267"/>
      <c r="K9" s="267"/>
    </row>
    <row r="10" spans="1:12" ht="13.5" x14ac:dyDescent="0.35">
      <c r="A10" s="74" t="s">
        <v>90</v>
      </c>
      <c r="B10" s="75">
        <v>18000</v>
      </c>
      <c r="C10" s="259">
        <f>Reserve_Analysis789[[#This Row],[Replacement Cost]]/B3</f>
        <v>5.736137667304015E-2</v>
      </c>
      <c r="D10" s="57">
        <f>E3*Reserve_Analysis789[[#This Row],[Ratio Item to Total]]</f>
        <v>1061.1854684512427</v>
      </c>
      <c r="F10" s="267"/>
      <c r="G10" s="267"/>
      <c r="H10" s="267"/>
      <c r="I10" s="267"/>
      <c r="J10" s="267"/>
      <c r="K10" s="267"/>
    </row>
    <row r="11" spans="1:12" ht="13.5" x14ac:dyDescent="0.35">
      <c r="A11" s="74" t="s">
        <v>44</v>
      </c>
      <c r="B11" s="75">
        <v>47800</v>
      </c>
      <c r="C11" s="259">
        <f>Reserve_Analysis789[[#This Row],[Replacement Cost]]/B3</f>
        <v>0.15232632249840664</v>
      </c>
      <c r="D11" s="57">
        <f>E3*Reserve_Analysis789[[#This Row],[Ratio Item to Total]]</f>
        <v>2818.0369662205226</v>
      </c>
      <c r="F11" s="267"/>
      <c r="G11" s="267"/>
      <c r="H11" s="267"/>
      <c r="I11" s="267"/>
      <c r="J11" s="267"/>
      <c r="K11" s="267"/>
    </row>
    <row r="12" spans="1:12" ht="13.5" x14ac:dyDescent="0.35">
      <c r="A12" s="74"/>
      <c r="B12" s="75"/>
      <c r="C12" s="259"/>
      <c r="D12" s="57"/>
      <c r="F12" s="267"/>
      <c r="G12" s="267"/>
      <c r="H12" s="267"/>
      <c r="I12" s="267"/>
      <c r="J12" s="267"/>
      <c r="K12" s="267"/>
    </row>
    <row r="13" spans="1:12" ht="13.5" x14ac:dyDescent="0.35">
      <c r="A13" s="74"/>
      <c r="B13" s="75"/>
      <c r="C13" s="259"/>
      <c r="D13" s="57"/>
      <c r="F13" s="267"/>
      <c r="G13" s="267"/>
      <c r="H13" s="267"/>
      <c r="I13" s="267"/>
      <c r="J13" s="267"/>
      <c r="K13" s="267"/>
    </row>
    <row r="14" spans="1:12" ht="13.5" x14ac:dyDescent="0.35">
      <c r="A14" s="74"/>
      <c r="B14" s="75"/>
      <c r="C14" s="259"/>
      <c r="D14" s="57"/>
      <c r="F14" s="267"/>
      <c r="G14" s="267"/>
      <c r="H14" s="267"/>
      <c r="I14" s="267"/>
      <c r="J14" s="267"/>
      <c r="K14" s="267"/>
    </row>
    <row r="15" spans="1:12" ht="13.5" x14ac:dyDescent="0.35">
      <c r="A15" s="74"/>
      <c r="B15" s="75"/>
      <c r="C15" s="259"/>
      <c r="D15" s="57"/>
      <c r="F15" s="267"/>
      <c r="G15" s="267"/>
      <c r="H15" s="267"/>
      <c r="I15" s="267"/>
      <c r="J15" s="267"/>
      <c r="K15" s="267"/>
    </row>
    <row r="16" spans="1:12" ht="13.5" x14ac:dyDescent="0.35">
      <c r="A16" s="74"/>
      <c r="B16" s="75"/>
      <c r="C16" s="259"/>
      <c r="D16" s="57"/>
      <c r="F16" s="267"/>
      <c r="G16" s="267"/>
      <c r="H16" s="267"/>
      <c r="I16" s="267"/>
      <c r="J16" s="267"/>
      <c r="K16" s="267"/>
    </row>
    <row r="17" spans="1:12" ht="13.5" x14ac:dyDescent="0.35">
      <c r="A17" s="74"/>
      <c r="B17" s="75"/>
      <c r="C17" s="259"/>
      <c r="D17" s="57"/>
      <c r="F17" s="267"/>
      <c r="G17" s="267"/>
      <c r="H17" s="267"/>
      <c r="I17" s="267"/>
      <c r="J17" s="267"/>
      <c r="K17" s="267"/>
    </row>
    <row r="18" spans="1:12" ht="13.5" x14ac:dyDescent="0.35">
      <c r="A18" s="74"/>
      <c r="B18" s="75"/>
      <c r="C18" s="259"/>
      <c r="D18" s="57"/>
      <c r="F18" s="267"/>
      <c r="G18" s="267"/>
      <c r="H18" s="267"/>
      <c r="I18" s="267"/>
      <c r="J18" s="267"/>
      <c r="K18" s="267"/>
    </row>
    <row r="19" spans="1:12" ht="13.5" x14ac:dyDescent="0.35">
      <c r="A19" s="74"/>
      <c r="B19" s="75"/>
      <c r="C19" s="259"/>
      <c r="D19" s="57"/>
      <c r="F19" s="267"/>
      <c r="G19" s="267"/>
      <c r="H19" s="267"/>
      <c r="I19" s="267"/>
      <c r="J19" s="267"/>
      <c r="K19" s="267"/>
    </row>
    <row r="20" spans="1:12" ht="13.5" x14ac:dyDescent="0.35">
      <c r="A20" s="74"/>
      <c r="B20" s="75"/>
      <c r="C20" s="259"/>
      <c r="D20" s="57"/>
      <c r="F20" s="267"/>
      <c r="G20" s="267"/>
      <c r="H20" s="267"/>
      <c r="I20" s="267"/>
      <c r="J20" s="267"/>
      <c r="K20" s="267"/>
    </row>
    <row r="21" spans="1:12" ht="13.5" x14ac:dyDescent="0.35">
      <c r="A21" s="74"/>
      <c r="B21" s="75"/>
      <c r="C21" s="259"/>
      <c r="D21" s="57"/>
      <c r="F21" s="267"/>
      <c r="G21" s="267"/>
      <c r="H21" s="267"/>
      <c r="I21" s="267"/>
      <c r="J21" s="267"/>
      <c r="K21" s="267"/>
    </row>
    <row r="22" spans="1:12" ht="13.5" x14ac:dyDescent="0.35">
      <c r="A22" s="74"/>
      <c r="B22" s="75"/>
      <c r="C22" s="259"/>
      <c r="D22" s="57"/>
      <c r="F22" s="267"/>
      <c r="G22" s="267"/>
      <c r="H22" s="267"/>
      <c r="I22" s="267"/>
      <c r="J22" s="267"/>
      <c r="K22" s="267"/>
    </row>
    <row r="23" spans="1:12" ht="13.5" x14ac:dyDescent="0.35">
      <c r="A23" s="74"/>
      <c r="B23" s="75"/>
      <c r="C23" s="259"/>
      <c r="D23" s="57"/>
      <c r="F23" s="267"/>
      <c r="G23" s="267"/>
      <c r="H23" s="267"/>
      <c r="I23" s="267"/>
      <c r="J23" s="267"/>
      <c r="K23" s="267"/>
    </row>
    <row r="24" spans="1:12" ht="13.5" x14ac:dyDescent="0.35">
      <c r="A24" s="74"/>
      <c r="B24" s="75"/>
      <c r="C24" s="259"/>
      <c r="D24" s="57"/>
      <c r="F24" s="267"/>
      <c r="G24" s="267"/>
      <c r="H24" s="267"/>
      <c r="I24" s="267"/>
      <c r="J24" s="267"/>
      <c r="K24" s="267"/>
    </row>
    <row r="25" spans="1:12" ht="13.5" x14ac:dyDescent="0.35">
      <c r="A25" s="74"/>
      <c r="B25" s="75"/>
      <c r="C25" s="259"/>
      <c r="D25" s="57"/>
      <c r="F25" s="267"/>
      <c r="G25" s="267"/>
      <c r="H25" s="267"/>
      <c r="I25" s="267"/>
      <c r="J25" s="267"/>
      <c r="K25" s="267"/>
    </row>
    <row r="26" spans="1:12" ht="13.5" x14ac:dyDescent="0.35">
      <c r="A26" s="74"/>
      <c r="B26" s="75"/>
      <c r="C26" s="259"/>
      <c r="D26" s="57"/>
      <c r="F26" s="267"/>
      <c r="G26" s="267"/>
      <c r="H26" s="267"/>
      <c r="I26" s="267"/>
      <c r="J26" s="267"/>
      <c r="K26" s="267"/>
    </row>
    <row r="27" spans="1:12" ht="13.5" x14ac:dyDescent="0.35">
      <c r="A27" s="269" t="s">
        <v>91</v>
      </c>
      <c r="B27" s="260">
        <f>SUBTOTAL(109,Reserve_Analysis789[Replacement Cost])</f>
        <v>313800</v>
      </c>
      <c r="C27" s="262">
        <f>SUBTOTAL(109,Reserve_Analysis789[Ratio Item to Total])</f>
        <v>1</v>
      </c>
      <c r="D27" s="261">
        <f>SUBTOTAL(109,Reserve_Analysis789[Item Budgeted Amount])</f>
        <v>18500</v>
      </c>
      <c r="F27" s="267"/>
      <c r="G27" s="267"/>
      <c r="H27" s="267"/>
      <c r="I27" s="267"/>
      <c r="J27" s="267"/>
      <c r="K27" s="267"/>
    </row>
    <row r="28" spans="1:12" ht="13.5" x14ac:dyDescent="0.35">
      <c r="A28" s="62"/>
      <c r="B28" s="47"/>
      <c r="C28" s="42"/>
      <c r="D28" s="42"/>
      <c r="E28" s="42"/>
      <c r="F28" s="39"/>
      <c r="G28" s="43"/>
      <c r="H28" s="47"/>
      <c r="I28" s="47"/>
      <c r="J28" s="39"/>
      <c r="K28" s="39"/>
      <c r="L28" s="39"/>
    </row>
    <row r="29" spans="1:12" ht="12.75" customHeight="1" x14ac:dyDescent="0.25">
      <c r="A29" s="335" t="s">
        <v>92</v>
      </c>
      <c r="B29" s="335"/>
      <c r="C29" s="335"/>
      <c r="D29" s="335"/>
      <c r="E29" s="335"/>
      <c r="F29" s="335"/>
      <c r="G29" s="335"/>
      <c r="H29" s="335"/>
      <c r="I29" s="335"/>
      <c r="J29" s="335"/>
      <c r="K29" s="335"/>
      <c r="L29" s="335"/>
    </row>
    <row r="30" spans="1:12" ht="12.75" customHeight="1" x14ac:dyDescent="0.25">
      <c r="A30" s="335"/>
      <c r="B30" s="335"/>
      <c r="C30" s="335"/>
      <c r="D30" s="335"/>
      <c r="E30" s="335"/>
      <c r="F30" s="335"/>
      <c r="G30" s="335"/>
      <c r="H30" s="335"/>
      <c r="I30" s="335"/>
      <c r="J30" s="335"/>
      <c r="K30" s="335"/>
      <c r="L30" s="335"/>
    </row>
    <row r="31" spans="1:12" ht="12.75" customHeight="1" x14ac:dyDescent="0.25">
      <c r="A31" s="335"/>
      <c r="B31" s="335"/>
      <c r="C31" s="335"/>
      <c r="D31" s="335"/>
      <c r="E31" s="335"/>
      <c r="F31" s="335"/>
      <c r="G31" s="335"/>
      <c r="H31" s="335"/>
      <c r="I31" s="335"/>
      <c r="J31" s="335"/>
      <c r="K31" s="335"/>
      <c r="L31" s="335"/>
    </row>
    <row r="32" spans="1:12" ht="12.75" customHeight="1" x14ac:dyDescent="0.25">
      <c r="A32" s="335"/>
      <c r="B32" s="335"/>
      <c r="C32" s="335"/>
      <c r="D32" s="335"/>
      <c r="E32" s="335"/>
      <c r="F32" s="335"/>
      <c r="G32" s="335"/>
      <c r="H32" s="335"/>
      <c r="I32" s="335"/>
      <c r="J32" s="335"/>
      <c r="K32" s="335"/>
      <c r="L32" s="335"/>
    </row>
    <row r="33" spans="1:12" ht="16.5" customHeight="1" x14ac:dyDescent="0.25">
      <c r="A33" s="335"/>
      <c r="B33" s="335"/>
      <c r="C33" s="335"/>
      <c r="D33" s="335"/>
      <c r="E33" s="335"/>
      <c r="F33" s="335"/>
      <c r="G33" s="335"/>
      <c r="H33" s="335"/>
      <c r="I33" s="335"/>
      <c r="J33" s="335"/>
      <c r="K33" s="335"/>
      <c r="L33" s="335"/>
    </row>
    <row r="34" spans="1:12" ht="12.75" customHeight="1" x14ac:dyDescent="0.25">
      <c r="A34" s="63"/>
      <c r="B34" s="63"/>
      <c r="C34" s="63"/>
      <c r="D34" s="63"/>
      <c r="E34" s="63"/>
      <c r="F34" s="63"/>
      <c r="G34" s="63"/>
      <c r="H34" s="63"/>
      <c r="I34" s="63"/>
      <c r="J34" s="63"/>
      <c r="K34" s="63"/>
      <c r="L34" s="63"/>
    </row>
    <row r="35" spans="1:12" ht="12.75" customHeight="1" x14ac:dyDescent="0.25">
      <c r="A35" s="335"/>
      <c r="B35" s="335"/>
      <c r="C35" s="335"/>
      <c r="D35" s="335"/>
      <c r="E35" s="335"/>
      <c r="F35" s="335"/>
      <c r="G35" s="335"/>
      <c r="H35" s="335"/>
      <c r="I35" s="335"/>
      <c r="J35" s="335"/>
      <c r="K35" s="335"/>
      <c r="L35" s="335"/>
    </row>
    <row r="36" spans="1:12" ht="12.75" customHeight="1" x14ac:dyDescent="0.25">
      <c r="A36" s="335"/>
      <c r="B36" s="335"/>
      <c r="C36" s="335"/>
      <c r="D36" s="335"/>
      <c r="E36" s="335"/>
      <c r="F36" s="335"/>
      <c r="G36" s="335"/>
      <c r="H36" s="335"/>
      <c r="I36" s="335"/>
      <c r="J36" s="335"/>
      <c r="K36" s="335"/>
      <c r="L36" s="335"/>
    </row>
    <row r="37" spans="1:12" ht="12.75" customHeight="1" x14ac:dyDescent="0.25">
      <c r="A37" s="335"/>
      <c r="B37" s="335"/>
      <c r="C37" s="335"/>
      <c r="D37" s="335"/>
      <c r="E37" s="335"/>
      <c r="F37" s="335"/>
      <c r="G37" s="335"/>
      <c r="H37" s="335"/>
      <c r="I37" s="335"/>
      <c r="J37" s="335"/>
      <c r="K37" s="335"/>
      <c r="L37" s="335"/>
    </row>
    <row r="38" spans="1:12" ht="13.25" customHeight="1" x14ac:dyDescent="0.25">
      <c r="A38" s="335"/>
      <c r="B38" s="335"/>
      <c r="C38" s="335"/>
      <c r="D38" s="335"/>
      <c r="E38" s="335"/>
      <c r="F38" s="335"/>
      <c r="G38" s="335"/>
      <c r="H38" s="335"/>
      <c r="I38" s="335"/>
      <c r="J38" s="335"/>
      <c r="K38" s="335"/>
      <c r="L38" s="335"/>
    </row>
    <row r="39" spans="1:12" x14ac:dyDescent="0.25">
      <c r="A39" s="335"/>
      <c r="B39" s="335"/>
      <c r="C39" s="335"/>
      <c r="D39" s="335"/>
      <c r="E39" s="335"/>
      <c r="F39" s="335"/>
      <c r="G39" s="335"/>
      <c r="H39" s="335"/>
      <c r="I39" s="335"/>
      <c r="J39" s="335"/>
      <c r="K39" s="335"/>
      <c r="L39" s="335"/>
    </row>
  </sheetData>
  <sheetProtection algorithmName="SHA-512" hashValue="opI2QSdEsOt2a6Nfmk7YWRnXx5IIek7n0G9PB7QaVjI3gYDNA+MW9c/JE39DNDDLeMLZMLEO3xawFehQkKHoUg==" saltValue="62X4bw2rE3NQoeIl6HMJRA==" spinCount="100000" sheet="1" objects="1" scenarios="1" selectLockedCells="1"/>
  <mergeCells count="6">
    <mergeCell ref="A35:L39"/>
    <mergeCell ref="B1:E1"/>
    <mergeCell ref="G1:H1"/>
    <mergeCell ref="C3:D3"/>
    <mergeCell ref="H4:I4"/>
    <mergeCell ref="A29:L33"/>
  </mergeCells>
  <pageMargins left="0.25" right="0.25" top="0.75" bottom="0.75" header="0.3" footer="0.3"/>
  <pageSetup scale="78" orientation="landscape" r:id="rId1"/>
  <headerFooter>
    <oddHeader>&amp;C&amp;"Arial,Bold"&amp;14Allocate Reserve Funds to Items&amp;KFF0000*&amp;"Arial,Regular"&amp;10&amp;K000000
Version: 1.10</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Allocate Reserve Funds</vt:lpstr>
      <vt:lpstr>BUDGET</vt:lpstr>
      <vt:lpstr>BUDGET - Example</vt:lpstr>
      <vt:lpstr>RESERVE ANALYSIS</vt:lpstr>
      <vt:lpstr>RESERVE ANALYSIS Example</vt:lpstr>
      <vt:lpstr>RESERVE ANALYSIS - Example</vt:lpstr>
      <vt:lpstr>ARF - Example</vt:lpstr>
      <vt:lpstr>'Allocate Reserve Funds'!Print_Area</vt:lpstr>
      <vt:lpstr>'ARF - Example'!Print_Area</vt:lpstr>
      <vt:lpstr>BUDGET!Print_Area</vt:lpstr>
      <vt:lpstr>'BUDGET - Example'!Print_Area</vt:lpstr>
      <vt:lpstr>'RESERVE ANALYSIS Example'!Print_Area</vt:lpstr>
    </vt:vector>
  </TitlesOfParts>
  <Manager>rhelmer@ahfc.us</Manager>
  <Company>AHFC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rhelmer@ahfc.us</dc:creator>
  <cp:lastModifiedBy>Jim McCall</cp:lastModifiedBy>
  <cp:lastPrinted>2016-10-13T23:01:20Z</cp:lastPrinted>
  <dcterms:created xsi:type="dcterms:W3CDTF">2001-05-10T18:45:03Z</dcterms:created>
  <dcterms:modified xsi:type="dcterms:W3CDTF">2023-04-05T16:16:55Z</dcterms:modified>
</cp:coreProperties>
</file>