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ml.chartshapes+xml"/>
  <Override PartName="/xl/charts/chart13.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332" yWindow="-168" windowWidth="16296" windowHeight="12588"/>
  </bookViews>
  <sheets>
    <sheet name="Read-Me" sheetId="5" r:id="rId1"/>
    <sheet name="In_Out" sheetId="1" r:id="rId2"/>
    <sheet name="Graphics" sheetId="8" r:id="rId3"/>
    <sheet name="Calculations" sheetId="2" state="hidden" r:id="rId4"/>
    <sheet name="Cashflows" sheetId="3" r:id="rId5"/>
    <sheet name="Sheet1" sheetId="4" state="hidden" r:id="rId6"/>
    <sheet name="Sheet2" sheetId="6" state="hidden" r:id="rId7"/>
    <sheet name="Investment Analysis" sheetId="9" r:id="rId8"/>
  </sheets>
  <calcPr calcId="145621"/>
</workbook>
</file>

<file path=xl/calcChain.xml><?xml version="1.0" encoding="utf-8"?>
<calcChain xmlns="http://schemas.openxmlformats.org/spreadsheetml/2006/main">
  <c r="G24" i="1" l="1"/>
  <c r="A110" i="3" l="1"/>
  <c r="E6" i="9" l="1"/>
  <c r="D83" i="3" l="1"/>
  <c r="D84" i="3"/>
  <c r="D85" i="3"/>
  <c r="D86" i="3"/>
  <c r="D87" i="3"/>
  <c r="D82" i="3"/>
  <c r="G40" i="3"/>
  <c r="G41" i="3"/>
  <c r="G42" i="3"/>
  <c r="G43" i="3"/>
  <c r="G44" i="3"/>
  <c r="G45" i="3"/>
  <c r="E2" i="9" l="1"/>
  <c r="E3" i="9"/>
  <c r="D9" i="1" l="1"/>
  <c r="E434" i="2" l="1"/>
  <c r="C24" i="1" s="1"/>
  <c r="H24" i="1" l="1"/>
  <c r="F85" i="3" l="1"/>
  <c r="F87" i="3"/>
  <c r="F82" i="3"/>
  <c r="B82" i="3"/>
  <c r="C82" i="3" s="1"/>
  <c r="F86" i="3" l="1"/>
  <c r="F84" i="3"/>
  <c r="F83" i="3"/>
  <c r="J82" i="3"/>
  <c r="B83" i="3"/>
  <c r="J83" i="3" s="1"/>
  <c r="K4" i="3" s="1"/>
  <c r="K82" i="3" l="1"/>
  <c r="K3" i="3"/>
  <c r="C83" i="3"/>
  <c r="B84" i="3" s="1"/>
  <c r="J84" i="3" s="1"/>
  <c r="K5" i="3" s="1"/>
  <c r="C84" i="3" l="1"/>
  <c r="B85" i="3" s="1"/>
  <c r="J85" i="3" s="1"/>
  <c r="K6" i="3" s="1"/>
  <c r="C85" i="3" l="1"/>
  <c r="B86" i="3" s="1"/>
  <c r="J86" i="3" s="1"/>
  <c r="K7" i="3" s="1"/>
  <c r="H84" i="3"/>
  <c r="H83" i="3"/>
  <c r="K83" i="3"/>
  <c r="K84" i="3" s="1"/>
  <c r="C86" i="3" l="1"/>
  <c r="B87" i="3" s="1"/>
  <c r="J87" i="3" s="1"/>
  <c r="K8" i="3" s="1"/>
  <c r="H86" i="3"/>
  <c r="K85" i="3"/>
  <c r="I83" i="3"/>
  <c r="I84" i="3" s="1"/>
  <c r="C87" i="3" l="1"/>
  <c r="B88" i="3" s="1"/>
  <c r="H87" i="3"/>
  <c r="H85" i="3"/>
  <c r="I85" i="3" s="1"/>
  <c r="I86" i="3" s="1"/>
  <c r="C88" i="3" l="1"/>
  <c r="B89" i="3" s="1"/>
  <c r="I87" i="3"/>
  <c r="K86" i="3"/>
  <c r="K87" i="3" s="1"/>
  <c r="C89" i="3" l="1"/>
  <c r="B90" i="3" s="1"/>
  <c r="C90" i="3" l="1"/>
  <c r="B91" i="3" s="1"/>
  <c r="C91" i="3" l="1"/>
  <c r="B92" i="3" s="1"/>
  <c r="C92" i="3" l="1"/>
  <c r="B93" i="3" s="1"/>
  <c r="C93" i="3" l="1"/>
  <c r="B94" i="3" s="1"/>
  <c r="C94" i="3" l="1"/>
  <c r="B95" i="3" s="1"/>
  <c r="C95" i="3" l="1"/>
  <c r="B96" i="3" s="1"/>
  <c r="C96" i="3" l="1"/>
  <c r="B97" i="3" s="1"/>
  <c r="C105" i="3" l="1"/>
  <c r="C97" i="3"/>
  <c r="B98" i="3" s="1"/>
  <c r="C98" i="3" l="1"/>
  <c r="B99" i="3" s="1"/>
  <c r="I24" i="1"/>
  <c r="E435" i="2"/>
  <c r="C99" i="3" l="1"/>
  <c r="B100" i="3" s="1"/>
  <c r="C100" i="3" l="1"/>
  <c r="B101" i="3" s="1"/>
  <c r="D10" i="1"/>
  <c r="D88" i="3" l="1"/>
  <c r="D89" i="3"/>
  <c r="D90" i="3"/>
  <c r="D91" i="3"/>
  <c r="D92" i="3"/>
  <c r="D93" i="3"/>
  <c r="D94" i="3"/>
  <c r="D95" i="3"/>
  <c r="D96" i="3"/>
  <c r="D97" i="3"/>
  <c r="D98" i="3"/>
  <c r="D99" i="3"/>
  <c r="D100" i="3"/>
  <c r="D101" i="3"/>
  <c r="C101" i="3"/>
  <c r="B102" i="3" s="1"/>
  <c r="C114" i="3"/>
  <c r="A115" i="3"/>
  <c r="A116" i="3"/>
  <c r="A117" i="3"/>
  <c r="A118" i="3"/>
  <c r="A119" i="3"/>
  <c r="A120" i="3"/>
  <c r="A121" i="3"/>
  <c r="A122" i="3"/>
  <c r="A123" i="3"/>
  <c r="A124" i="3"/>
  <c r="A125" i="3"/>
  <c r="A126" i="3"/>
  <c r="A127" i="3"/>
  <c r="A128" i="3"/>
  <c r="A129" i="3"/>
  <c r="D102" i="3" l="1"/>
  <c r="C102" i="3"/>
  <c r="B103" i="3" s="1"/>
  <c r="F96" i="3"/>
  <c r="F95" i="3"/>
  <c r="F91" i="3"/>
  <c r="F88" i="3"/>
  <c r="F94" i="3"/>
  <c r="F93" i="3"/>
  <c r="F92" i="3"/>
  <c r="F90" i="3"/>
  <c r="F97" i="3"/>
  <c r="F89" i="3"/>
  <c r="H24" i="3"/>
  <c r="C103" i="3" l="1"/>
  <c r="D103" i="3"/>
  <c r="D105" i="3" s="1"/>
  <c r="B105" i="3"/>
  <c r="I24" i="3"/>
  <c r="F105" i="3"/>
  <c r="D25" i="3"/>
  <c r="D26" i="3"/>
  <c r="D27" i="3"/>
  <c r="D28" i="3"/>
  <c r="F29" i="3"/>
  <c r="D53" i="3" l="1"/>
  <c r="E53" i="3" s="1"/>
  <c r="F25" i="3"/>
  <c r="G39" i="3"/>
  <c r="G38" i="3"/>
  <c r="G37" i="3"/>
  <c r="G36" i="3"/>
  <c r="G35" i="3"/>
  <c r="G34" i="3"/>
  <c r="G33" i="3"/>
  <c r="G32" i="3"/>
  <c r="G31" i="3"/>
  <c r="G30" i="3"/>
  <c r="B24" i="3"/>
  <c r="J24" i="3" s="1"/>
  <c r="C3" i="3" l="1"/>
  <c r="K24" i="3"/>
  <c r="D3" i="3" s="1"/>
  <c r="E3" i="3" s="1"/>
  <c r="G47" i="3"/>
  <c r="C24" i="3"/>
  <c r="B25" i="3" s="1"/>
  <c r="J25" i="3" s="1"/>
  <c r="C4" i="3" l="1"/>
  <c r="K25" i="3"/>
  <c r="F26" i="3"/>
  <c r="C25" i="3"/>
  <c r="B26" i="3" s="1"/>
  <c r="J26" i="3" s="1"/>
  <c r="C5" i="3" s="1"/>
  <c r="B53" i="3"/>
  <c r="B114" i="3" l="1"/>
  <c r="D114" i="3" s="1"/>
  <c r="O3" i="3"/>
  <c r="J53" i="3"/>
  <c r="K26" i="3"/>
  <c r="D5" i="3" s="1"/>
  <c r="E5" i="3" s="1"/>
  <c r="D4" i="3"/>
  <c r="E4" i="3" s="1"/>
  <c r="F27" i="3"/>
  <c r="H25" i="3"/>
  <c r="H26" i="3"/>
  <c r="C26" i="3"/>
  <c r="B27" i="3" s="1"/>
  <c r="J27" i="3" s="1"/>
  <c r="C6" i="3" s="1"/>
  <c r="C53" i="3"/>
  <c r="B54" i="3" s="1"/>
  <c r="B115" i="3" l="1"/>
  <c r="I25" i="3"/>
  <c r="I26" i="3" s="1"/>
  <c r="K53" i="3"/>
  <c r="G3" i="3"/>
  <c r="O4" i="3"/>
  <c r="D54" i="3"/>
  <c r="E54" i="3" s="1"/>
  <c r="F28" i="3"/>
  <c r="K27" i="3"/>
  <c r="D6" i="3" s="1"/>
  <c r="E6" i="3" s="1"/>
  <c r="C27" i="3"/>
  <c r="B28" i="3" s="1"/>
  <c r="J28" i="3" s="1"/>
  <c r="C7" i="3" s="1"/>
  <c r="C54" i="3"/>
  <c r="B55" i="3" s="1"/>
  <c r="B116" i="3" s="1"/>
  <c r="F11" i="1"/>
  <c r="B434" i="2" s="1"/>
  <c r="K435" i="2" s="1"/>
  <c r="N435" i="2" s="1"/>
  <c r="O435" i="2" s="1"/>
  <c r="C5" i="2"/>
  <c r="I17" i="1" l="1"/>
  <c r="D4" i="9" s="1"/>
  <c r="G17" i="1"/>
  <c r="D2" i="9" s="1"/>
  <c r="O5" i="3"/>
  <c r="D55" i="3"/>
  <c r="E55" i="3" s="1"/>
  <c r="F54" i="3"/>
  <c r="K436" i="2" s="1"/>
  <c r="K28" i="3"/>
  <c r="D7" i="3" s="1"/>
  <c r="E7" i="3" s="1"/>
  <c r="C28" i="3"/>
  <c r="B29" i="3" s="1"/>
  <c r="J29" i="3" s="1"/>
  <c r="H28" i="3"/>
  <c r="H27" i="3"/>
  <c r="C55" i="3"/>
  <c r="B56" i="3" s="1"/>
  <c r="D40" i="1"/>
  <c r="D41" i="1" s="1"/>
  <c r="C10" i="2"/>
  <c r="K437" i="2" l="1"/>
  <c r="N436" i="2"/>
  <c r="C115" i="3"/>
  <c r="D115" i="3" s="1"/>
  <c r="I27" i="3"/>
  <c r="I28" i="3" s="1"/>
  <c r="B117" i="3"/>
  <c r="C8" i="3"/>
  <c r="O6" i="3"/>
  <c r="D56" i="3"/>
  <c r="E56" i="3" s="1"/>
  <c r="K29" i="3"/>
  <c r="D8" i="3" s="1"/>
  <c r="E8" i="3" s="1"/>
  <c r="C29" i="3"/>
  <c r="B30" i="3" s="1"/>
  <c r="F55" i="3"/>
  <c r="C116" i="3" s="1"/>
  <c r="D116" i="3" s="1"/>
  <c r="C56" i="3"/>
  <c r="B57" i="3" s="1"/>
  <c r="B118" i="3" s="1"/>
  <c r="O436" i="2" l="1"/>
  <c r="N437" i="2"/>
  <c r="K438" i="2"/>
  <c r="C57" i="3"/>
  <c r="B58" i="3" s="1"/>
  <c r="B119" i="3" s="1"/>
  <c r="O7" i="3"/>
  <c r="D57" i="3"/>
  <c r="E57" i="3" s="1"/>
  <c r="H29" i="3"/>
  <c r="C30" i="3"/>
  <c r="B31" i="3" s="1"/>
  <c r="F56" i="3"/>
  <c r="C117" i="3" s="1"/>
  <c r="P3" i="3"/>
  <c r="Q3" i="3" s="1"/>
  <c r="L3" i="3"/>
  <c r="M3" i="3" s="1"/>
  <c r="H3" i="3"/>
  <c r="I3" i="3" s="1"/>
  <c r="K439" i="2" l="1"/>
  <c r="N438" i="2"/>
  <c r="O437" i="2"/>
  <c r="D58" i="3"/>
  <c r="E58" i="3" s="1"/>
  <c r="C58" i="3"/>
  <c r="B59" i="3" s="1"/>
  <c r="O8" i="3"/>
  <c r="D117" i="3"/>
  <c r="I29" i="3"/>
  <c r="C31" i="3"/>
  <c r="B32" i="3" s="1"/>
  <c r="F57" i="3"/>
  <c r="C118" i="3" s="1"/>
  <c r="D118" i="3" s="1"/>
  <c r="C9" i="2"/>
  <c r="O438" i="2" l="1"/>
  <c r="K440" i="2"/>
  <c r="N439" i="2"/>
  <c r="B120" i="3"/>
  <c r="D30" i="3"/>
  <c r="C59" i="3"/>
  <c r="B60" i="3" s="1"/>
  <c r="B121" i="3" s="1"/>
  <c r="O9" i="3"/>
  <c r="D59" i="3"/>
  <c r="E59" i="3" s="1"/>
  <c r="C32" i="3"/>
  <c r="B33" i="3" s="1"/>
  <c r="F58" i="3"/>
  <c r="C119" i="3" s="1"/>
  <c r="D119" i="3" s="1"/>
  <c r="C4" i="2"/>
  <c r="O439" i="2" l="1"/>
  <c r="K441" i="2"/>
  <c r="N440" i="2"/>
  <c r="F30" i="3"/>
  <c r="H30" i="3" s="1"/>
  <c r="J30" i="3"/>
  <c r="O10" i="3"/>
  <c r="D60" i="3"/>
  <c r="E60" i="3" s="1"/>
  <c r="D31" i="3"/>
  <c r="C33" i="3"/>
  <c r="B34" i="3" s="1"/>
  <c r="C60" i="3"/>
  <c r="B61" i="3" s="1"/>
  <c r="B122" i="3" s="1"/>
  <c r="C8" i="2"/>
  <c r="O440" i="2" l="1"/>
  <c r="K442" i="2"/>
  <c r="N441" i="2"/>
  <c r="I30" i="3"/>
  <c r="C9" i="3"/>
  <c r="K30" i="3"/>
  <c r="D9" i="3" s="1"/>
  <c r="E9" i="3" s="1"/>
  <c r="O11" i="3"/>
  <c r="D61" i="3"/>
  <c r="E61" i="3" s="1"/>
  <c r="D32" i="3"/>
  <c r="J31" i="3"/>
  <c r="F31" i="3"/>
  <c r="H31" i="3" s="1"/>
  <c r="C34" i="3"/>
  <c r="B35" i="3" s="1"/>
  <c r="F59" i="3"/>
  <c r="C120" i="3" s="1"/>
  <c r="C61" i="3"/>
  <c r="P4" i="3"/>
  <c r="Q4" i="3" s="1"/>
  <c r="L4" i="3"/>
  <c r="M4" i="3" s="1"/>
  <c r="O441" i="2" l="1"/>
  <c r="K443" i="2"/>
  <c r="N442" i="2"/>
  <c r="I31" i="3"/>
  <c r="D120" i="3"/>
  <c r="C10" i="3"/>
  <c r="K31" i="3"/>
  <c r="D10" i="3" s="1"/>
  <c r="E10" i="3" s="1"/>
  <c r="F32" i="3"/>
  <c r="H32" i="3" s="1"/>
  <c r="J32" i="3"/>
  <c r="C35" i="3"/>
  <c r="B36" i="3" s="1"/>
  <c r="F60" i="3"/>
  <c r="C121" i="3" s="1"/>
  <c r="D121" i="3" s="1"/>
  <c r="B62" i="3"/>
  <c r="B123" i="3" s="1"/>
  <c r="L5" i="3"/>
  <c r="M5" i="3" s="1"/>
  <c r="O442" i="2" l="1"/>
  <c r="K444" i="2"/>
  <c r="N443" i="2"/>
  <c r="I32" i="3"/>
  <c r="K32" i="3"/>
  <c r="D11" i="3" s="1"/>
  <c r="E11" i="3" s="1"/>
  <c r="C11" i="3"/>
  <c r="O12" i="3"/>
  <c r="D62" i="3"/>
  <c r="E62" i="3" s="1"/>
  <c r="D33" i="3"/>
  <c r="C36" i="3"/>
  <c r="B37" i="3" s="1"/>
  <c r="F61" i="3"/>
  <c r="C122" i="3" s="1"/>
  <c r="C62" i="3"/>
  <c r="L6" i="3"/>
  <c r="M6" i="3" s="1"/>
  <c r="P5" i="3"/>
  <c r="Q5" i="3" s="1"/>
  <c r="O443" i="2" l="1"/>
  <c r="K445" i="2"/>
  <c r="N444" i="2"/>
  <c r="D122" i="3"/>
  <c r="J33" i="3"/>
  <c r="F33" i="3"/>
  <c r="H33" i="3" s="1"/>
  <c r="I33" i="3" s="1"/>
  <c r="C37" i="3"/>
  <c r="B38" i="3" s="1"/>
  <c r="F62" i="3"/>
  <c r="C123" i="3" s="1"/>
  <c r="D123" i="3" s="1"/>
  <c r="B63" i="3"/>
  <c r="B124" i="3" s="1"/>
  <c r="P6" i="3"/>
  <c r="L7" i="3"/>
  <c r="M7" i="3" s="1"/>
  <c r="O444" i="2" l="1"/>
  <c r="K446" i="2"/>
  <c r="N445" i="2"/>
  <c r="P7" i="3"/>
  <c r="Q7" i="3" s="1"/>
  <c r="Q6" i="3"/>
  <c r="O13" i="3"/>
  <c r="D63" i="3"/>
  <c r="D34" i="3"/>
  <c r="K33" i="3"/>
  <c r="D12" i="3" s="1"/>
  <c r="E12" i="3" s="1"/>
  <c r="C12" i="3"/>
  <c r="C38" i="3"/>
  <c r="B39" i="3" s="1"/>
  <c r="C63" i="3"/>
  <c r="B64" i="3" s="1"/>
  <c r="B125" i="3" s="1"/>
  <c r="L8" i="3"/>
  <c r="M8" i="3" s="1"/>
  <c r="F63" i="3" l="1"/>
  <c r="C124" i="3" s="1"/>
  <c r="D124" i="3" s="1"/>
  <c r="E63" i="3"/>
  <c r="K447" i="2"/>
  <c r="N446" i="2"/>
  <c r="O445" i="2"/>
  <c r="P8" i="3"/>
  <c r="Q8" i="3" s="1"/>
  <c r="O14" i="3"/>
  <c r="D64" i="3"/>
  <c r="F64" i="3" s="1"/>
  <c r="C125" i="3" s="1"/>
  <c r="D125" i="3" s="1"/>
  <c r="D35" i="3"/>
  <c r="J34" i="3"/>
  <c r="F34" i="3"/>
  <c r="H34" i="3" s="1"/>
  <c r="I34" i="3" s="1"/>
  <c r="C47" i="3"/>
  <c r="C39" i="3"/>
  <c r="B40" i="3" s="1"/>
  <c r="C64" i="3"/>
  <c r="B65" i="3" s="1"/>
  <c r="B126" i="3" s="1"/>
  <c r="E64" i="3" l="1"/>
  <c r="C40" i="3"/>
  <c r="B41" i="3" s="1"/>
  <c r="O446" i="2"/>
  <c r="K448" i="2"/>
  <c r="N447" i="2"/>
  <c r="P9" i="3"/>
  <c r="Q9" i="3" s="1"/>
  <c r="O15" i="3"/>
  <c r="D65" i="3"/>
  <c r="F65" i="3" s="1"/>
  <c r="C126" i="3" s="1"/>
  <c r="D126" i="3" s="1"/>
  <c r="D36" i="3"/>
  <c r="F35" i="3"/>
  <c r="H35" i="3" s="1"/>
  <c r="I35" i="3" s="1"/>
  <c r="J35" i="3"/>
  <c r="K34" i="3"/>
  <c r="D13" i="3" s="1"/>
  <c r="E13" i="3" s="1"/>
  <c r="C13" i="3"/>
  <c r="C65" i="3"/>
  <c r="B66" i="3" s="1"/>
  <c r="B127" i="3" s="1"/>
  <c r="E65" i="3" l="1"/>
  <c r="C41" i="3"/>
  <c r="B42" i="3" s="1"/>
  <c r="O447" i="2"/>
  <c r="P10" i="3"/>
  <c r="Q10" i="3" s="1"/>
  <c r="K449" i="2"/>
  <c r="N448" i="2"/>
  <c r="O16" i="3"/>
  <c r="D66" i="3"/>
  <c r="F66" i="3" s="1"/>
  <c r="C127" i="3" s="1"/>
  <c r="D127" i="3" s="1"/>
  <c r="D37" i="3"/>
  <c r="K35" i="3"/>
  <c r="D14" i="3" s="1"/>
  <c r="E14" i="3" s="1"/>
  <c r="C14" i="3"/>
  <c r="J36" i="3"/>
  <c r="F36" i="3"/>
  <c r="C66" i="3"/>
  <c r="B67" i="3" s="1"/>
  <c r="B128" i="3" s="1"/>
  <c r="E66" i="3" l="1"/>
  <c r="C42" i="3"/>
  <c r="B43" i="3" s="1"/>
  <c r="O448" i="2"/>
  <c r="P11" i="3"/>
  <c r="Q11" i="3" s="1"/>
  <c r="K450" i="2"/>
  <c r="N449" i="2"/>
  <c r="K36" i="3"/>
  <c r="D15" i="3" s="1"/>
  <c r="E15" i="3" s="1"/>
  <c r="C15" i="3"/>
  <c r="H36" i="3"/>
  <c r="I36" i="3" s="1"/>
  <c r="O17" i="3"/>
  <c r="D67" i="3"/>
  <c r="D38" i="3"/>
  <c r="J37" i="3"/>
  <c r="F37" i="3"/>
  <c r="H37" i="3" s="1"/>
  <c r="C67" i="3"/>
  <c r="B68" i="3" s="1"/>
  <c r="E67" i="3" l="1"/>
  <c r="C43" i="3"/>
  <c r="B44" i="3" s="1"/>
  <c r="O449" i="2"/>
  <c r="N450" i="2"/>
  <c r="K451" i="2"/>
  <c r="P12" i="3"/>
  <c r="Q12" i="3" s="1"/>
  <c r="B129" i="3"/>
  <c r="B131" i="3" s="1"/>
  <c r="O18" i="3"/>
  <c r="D68" i="3"/>
  <c r="D39" i="3"/>
  <c r="F38" i="3"/>
  <c r="J38" i="3"/>
  <c r="I37" i="3"/>
  <c r="K37" i="3"/>
  <c r="D16" i="3" s="1"/>
  <c r="E16" i="3" s="1"/>
  <c r="C16" i="3"/>
  <c r="C68" i="3"/>
  <c r="B69" i="3" s="1"/>
  <c r="D40" i="3" s="1"/>
  <c r="C76" i="3"/>
  <c r="F67" i="3"/>
  <c r="C128" i="3" s="1"/>
  <c r="D128" i="3" s="1"/>
  <c r="J40" i="3" l="1"/>
  <c r="F40" i="3"/>
  <c r="H40" i="3" s="1"/>
  <c r="E68" i="3"/>
  <c r="C44" i="3"/>
  <c r="B45" i="3" s="1"/>
  <c r="B47" i="3"/>
  <c r="O450" i="2"/>
  <c r="C69" i="3"/>
  <c r="B70" i="3" s="1"/>
  <c r="D41" i="3" s="1"/>
  <c r="D69" i="3"/>
  <c r="F69" i="3" s="1"/>
  <c r="N451" i="2"/>
  <c r="K452" i="2"/>
  <c r="P13" i="3"/>
  <c r="Q13" i="3" s="1"/>
  <c r="K38" i="3"/>
  <c r="D17" i="3" s="1"/>
  <c r="E17" i="3" s="1"/>
  <c r="C17" i="3"/>
  <c r="H38" i="3"/>
  <c r="I38" i="3" s="1"/>
  <c r="J39" i="3"/>
  <c r="F39" i="3"/>
  <c r="H39" i="3" s="1"/>
  <c r="F68" i="3"/>
  <c r="E69" i="3" l="1"/>
  <c r="C110" i="3"/>
  <c r="J41" i="3"/>
  <c r="F41" i="3"/>
  <c r="H41" i="3" s="1"/>
  <c r="C45" i="3"/>
  <c r="C70" i="3"/>
  <c r="B71" i="3" s="1"/>
  <c r="D42" i="3" s="1"/>
  <c r="D70" i="3"/>
  <c r="N452" i="2"/>
  <c r="K453" i="2"/>
  <c r="O451" i="2"/>
  <c r="P14" i="3"/>
  <c r="Q14" i="3" s="1"/>
  <c r="C129" i="3"/>
  <c r="D129" i="3" s="1"/>
  <c r="H17" i="1"/>
  <c r="I39" i="3"/>
  <c r="I40" i="3" s="1"/>
  <c r="F47" i="3"/>
  <c r="K39" i="3"/>
  <c r="K40" i="3" s="1"/>
  <c r="K41" i="3" s="1"/>
  <c r="C18" i="3"/>
  <c r="D9" i="9" l="1"/>
  <c r="D5" i="9"/>
  <c r="I41" i="3"/>
  <c r="E70" i="3"/>
  <c r="E71" i="3" s="1"/>
  <c r="J42" i="3"/>
  <c r="F42" i="3"/>
  <c r="H42" i="3" s="1"/>
  <c r="O452" i="2"/>
  <c r="C71" i="3"/>
  <c r="B72" i="3" s="1"/>
  <c r="D43" i="3" s="1"/>
  <c r="D71" i="3"/>
  <c r="F71" i="3" s="1"/>
  <c r="P15" i="3"/>
  <c r="Q15" i="3" s="1"/>
  <c r="F70" i="3"/>
  <c r="N453" i="2"/>
  <c r="K454" i="2"/>
  <c r="C131" i="3"/>
  <c r="D131" i="3" s="1"/>
  <c r="D18" i="3"/>
  <c r="K42" i="3" l="1"/>
  <c r="J43" i="3"/>
  <c r="F43" i="3"/>
  <c r="H43" i="3" s="1"/>
  <c r="I42" i="3"/>
  <c r="P16" i="3"/>
  <c r="Q16" i="3" s="1"/>
  <c r="D72" i="3"/>
  <c r="E72" i="3" s="1"/>
  <c r="C72" i="3"/>
  <c r="B73" i="3" s="1"/>
  <c r="D44" i="3" s="1"/>
  <c r="N454" i="2"/>
  <c r="K455" i="2"/>
  <c r="O453" i="2"/>
  <c r="D32" i="1"/>
  <c r="E18" i="3"/>
  <c r="I43" i="3" l="1"/>
  <c r="J44" i="3"/>
  <c r="F44" i="3"/>
  <c r="H44" i="3" s="1"/>
  <c r="K43" i="3"/>
  <c r="K44" i="3" s="1"/>
  <c r="P17" i="3"/>
  <c r="Q17" i="3" s="1"/>
  <c r="C73" i="3"/>
  <c r="B74" i="3" s="1"/>
  <c r="D73" i="3"/>
  <c r="F73" i="3" s="1"/>
  <c r="F72" i="3"/>
  <c r="O454" i="2"/>
  <c r="N455" i="2"/>
  <c r="K456" i="2"/>
  <c r="E32" i="1"/>
  <c r="C7" i="2"/>
  <c r="I44" i="3" l="1"/>
  <c r="B76" i="3"/>
  <c r="D45" i="3"/>
  <c r="P18" i="3"/>
  <c r="E73" i="3"/>
  <c r="A131" i="3"/>
  <c r="C74" i="3"/>
  <c r="D74" i="3"/>
  <c r="D76" i="3" s="1"/>
  <c r="O455" i="2"/>
  <c r="N456" i="2"/>
  <c r="K457" i="2"/>
  <c r="Q18" i="3"/>
  <c r="B110" i="3" s="1"/>
  <c r="D35" i="1"/>
  <c r="C11" i="2"/>
  <c r="C25" i="2"/>
  <c r="E74" i="3" l="1"/>
  <c r="E76" i="3" s="1"/>
  <c r="J45" i="3"/>
  <c r="F45" i="3"/>
  <c r="H45" i="3" s="1"/>
  <c r="D47" i="3"/>
  <c r="F74" i="3"/>
  <c r="F76" i="3" s="1"/>
  <c r="O456" i="2"/>
  <c r="N457" i="2"/>
  <c r="K458" i="2"/>
  <c r="H32" i="1"/>
  <c r="H35" i="1"/>
  <c r="E35" i="1"/>
  <c r="D64" i="2"/>
  <c r="C12" i="2"/>
  <c r="C15" i="2" s="1"/>
  <c r="D43" i="2"/>
  <c r="D58" i="2"/>
  <c r="D28" i="2"/>
  <c r="D65" i="2"/>
  <c r="D51" i="2"/>
  <c r="D38" i="2"/>
  <c r="D29" i="2"/>
  <c r="D70" i="2"/>
  <c r="D34" i="2"/>
  <c r="D71" i="2"/>
  <c r="D50" i="2"/>
  <c r="D39" i="2"/>
  <c r="D33" i="2"/>
  <c r="D31" i="2"/>
  <c r="D44" i="2"/>
  <c r="D57" i="2"/>
  <c r="D27" i="2"/>
  <c r="D68" i="2"/>
  <c r="D47" i="2"/>
  <c r="D32" i="2"/>
  <c r="D54" i="2"/>
  <c r="D69" i="2"/>
  <c r="D59" i="2"/>
  <c r="D46" i="2"/>
  <c r="D36" i="2"/>
  <c r="D26" i="2"/>
  <c r="F40" i="1"/>
  <c r="D37" i="2"/>
  <c r="D40" i="2"/>
  <c r="D61" i="2"/>
  <c r="D53" i="2"/>
  <c r="D62" i="2"/>
  <c r="D41" i="2"/>
  <c r="D48" i="2"/>
  <c r="D66" i="2"/>
  <c r="D45" i="2"/>
  <c r="D52" i="2"/>
  <c r="D55" i="2"/>
  <c r="D60" i="2"/>
  <c r="D30" i="2"/>
  <c r="D67" i="2"/>
  <c r="D72" i="2"/>
  <c r="D49" i="2"/>
  <c r="D35" i="2"/>
  <c r="D63" i="2"/>
  <c r="D56" i="2"/>
  <c r="D428" i="2"/>
  <c r="D25" i="2"/>
  <c r="D42" i="2"/>
  <c r="H47" i="3" l="1"/>
  <c r="I47" i="3" s="1"/>
  <c r="I45" i="3"/>
  <c r="J47" i="3"/>
  <c r="K45" i="3"/>
  <c r="K47" i="3" s="1"/>
  <c r="O457" i="2"/>
  <c r="N458" i="2"/>
  <c r="K459" i="2"/>
  <c r="J8" i="2"/>
  <c r="F41" i="1"/>
  <c r="F42" i="1"/>
  <c r="J24" i="1" s="1"/>
  <c r="J10" i="2"/>
  <c r="J9" i="2"/>
  <c r="J7" i="2"/>
  <c r="E25" i="2"/>
  <c r="F25" i="2" s="1"/>
  <c r="O458" i="2" l="1"/>
  <c r="N459" i="2"/>
  <c r="K460" i="2"/>
  <c r="N460" i="2" s="1"/>
  <c r="G55" i="3"/>
  <c r="H55" i="3" s="1"/>
  <c r="G89" i="3"/>
  <c r="G54" i="3"/>
  <c r="H54" i="3" s="1"/>
  <c r="G88" i="3"/>
  <c r="G56" i="3"/>
  <c r="H56" i="3" s="1"/>
  <c r="G90" i="3"/>
  <c r="G57" i="3"/>
  <c r="H57" i="3" s="1"/>
  <c r="G91" i="3"/>
  <c r="G25" i="2"/>
  <c r="O459" i="2" l="1"/>
  <c r="O460" i="2" s="1"/>
  <c r="E441" i="2"/>
  <c r="H21" i="1" s="1"/>
  <c r="D3" i="9" s="1"/>
  <c r="E437" i="2"/>
  <c r="J21" i="1" s="1"/>
  <c r="E436" i="2"/>
  <c r="E439" i="2" s="1"/>
  <c r="J54" i="3"/>
  <c r="G4" i="3" s="1"/>
  <c r="J90" i="3"/>
  <c r="K11" i="3" s="1"/>
  <c r="H90" i="3"/>
  <c r="J89" i="3"/>
  <c r="K10" i="3" s="1"/>
  <c r="H89" i="3"/>
  <c r="J56" i="3"/>
  <c r="G6" i="3" s="1"/>
  <c r="J55" i="3"/>
  <c r="G5" i="3" s="1"/>
  <c r="J57" i="3"/>
  <c r="G7" i="3" s="1"/>
  <c r="J88" i="3"/>
  <c r="H88" i="3"/>
  <c r="J91" i="3"/>
  <c r="K12" i="3" s="1"/>
  <c r="H91" i="3"/>
  <c r="I54" i="3"/>
  <c r="I55" i="3" s="1"/>
  <c r="I56" i="3" s="1"/>
  <c r="I57" i="3" s="1"/>
  <c r="C26" i="2"/>
  <c r="E26" i="2" s="1"/>
  <c r="E444" i="2" l="1"/>
  <c r="I21" i="1" s="1"/>
  <c r="J17" i="1"/>
  <c r="K54" i="3"/>
  <c r="K55" i="3" s="1"/>
  <c r="K56" i="3" s="1"/>
  <c r="I88" i="3"/>
  <c r="I89" i="3" s="1"/>
  <c r="I90" i="3" s="1"/>
  <c r="I91" i="3" s="1"/>
  <c r="K9" i="3"/>
  <c r="L9" i="3" s="1"/>
  <c r="M9" i="3" s="1"/>
  <c r="K88" i="3"/>
  <c r="K89" i="3" s="1"/>
  <c r="K90" i="3" s="1"/>
  <c r="K91" i="3" s="1"/>
  <c r="F26" i="2"/>
  <c r="H4" i="3" l="1"/>
  <c r="I4" i="3" s="1"/>
  <c r="L10" i="3"/>
  <c r="H5" i="3"/>
  <c r="I5" i="3" s="1"/>
  <c r="K57" i="3"/>
  <c r="H6" i="3"/>
  <c r="I6" i="3" s="1"/>
  <c r="G26" i="2"/>
  <c r="L11" i="3" l="1"/>
  <c r="M10" i="3"/>
  <c r="H7" i="3"/>
  <c r="I7" i="3" s="1"/>
  <c r="C27" i="2"/>
  <c r="E27" i="2" s="1"/>
  <c r="L12" i="3" l="1"/>
  <c r="M11" i="3"/>
  <c r="F27" i="2"/>
  <c r="M12" i="3" l="1"/>
  <c r="G27" i="2"/>
  <c r="C28" i="2" l="1"/>
  <c r="E28" i="2" s="1"/>
  <c r="F28" i="2" l="1"/>
  <c r="G28" i="2" l="1"/>
  <c r="C29" i="2" l="1"/>
  <c r="E29" i="2" s="1"/>
  <c r="F29" i="2" s="1"/>
  <c r="G29" i="2" l="1"/>
  <c r="C30" i="2" s="1"/>
  <c r="E30" i="2" s="1"/>
  <c r="F30" i="2" s="1"/>
  <c r="G30" i="2" l="1"/>
  <c r="C31" i="2" s="1"/>
  <c r="E31" i="2" s="1"/>
  <c r="F31" i="2" s="1"/>
  <c r="G31" i="2" l="1"/>
  <c r="C32" i="2" s="1"/>
  <c r="E32" i="2" s="1"/>
  <c r="F32" i="2" s="1"/>
  <c r="G32" i="2" s="1"/>
  <c r="C33" i="2" l="1"/>
  <c r="E33" i="2" s="1"/>
  <c r="F33" i="2" s="1"/>
  <c r="G33" i="2" l="1"/>
  <c r="C34" i="2" l="1"/>
  <c r="E34" i="2" s="1"/>
  <c r="F34" i="2" s="1"/>
  <c r="G34" i="2" s="1"/>
  <c r="C35" i="2" l="1"/>
  <c r="E35" i="2" s="1"/>
  <c r="F35" i="2" s="1"/>
  <c r="G35" i="2" s="1"/>
  <c r="C36" i="2" l="1"/>
  <c r="E36" i="2" s="1"/>
  <c r="F36" i="2" s="1"/>
  <c r="G36" i="2" s="1"/>
  <c r="C37" i="2" l="1"/>
  <c r="E37" i="2" s="1"/>
  <c r="F37" i="2" s="1"/>
  <c r="G37" i="2" l="1"/>
  <c r="C38" i="2" s="1"/>
  <c r="E38" i="2" s="1"/>
  <c r="F38" i="2" s="1"/>
  <c r="G38" i="2" l="1"/>
  <c r="C39" i="2" l="1"/>
  <c r="E39" i="2" s="1"/>
  <c r="F39" i="2" s="1"/>
  <c r="G39" i="2" l="1"/>
  <c r="C40" i="2" s="1"/>
  <c r="E40" i="2" s="1"/>
  <c r="F40" i="2" s="1"/>
  <c r="G40" i="2" l="1"/>
  <c r="C41" i="2" s="1"/>
  <c r="E41" i="2" s="1"/>
  <c r="F41" i="2" s="1"/>
  <c r="G41" i="2" s="1"/>
  <c r="C42" i="2" l="1"/>
  <c r="E42" i="2" s="1"/>
  <c r="F42" i="2" s="1"/>
  <c r="G42" i="2" l="1"/>
  <c r="C43" i="2" s="1"/>
  <c r="E43" i="2" s="1"/>
  <c r="F43" i="2" s="1"/>
  <c r="G43" i="2" s="1"/>
  <c r="C44" i="2" l="1"/>
  <c r="E44" i="2" s="1"/>
  <c r="F44" i="2" s="1"/>
  <c r="G44" i="2" s="1"/>
  <c r="C45" i="2" l="1"/>
  <c r="E45" i="2" s="1"/>
  <c r="F45" i="2" s="1"/>
  <c r="G45" i="2" l="1"/>
  <c r="C46" i="2" s="1"/>
  <c r="E46" i="2" s="1"/>
  <c r="F46" i="2" s="1"/>
  <c r="G46" i="2" l="1"/>
  <c r="C47" i="2" l="1"/>
  <c r="E47" i="2" s="1"/>
  <c r="F47" i="2" s="1"/>
  <c r="G47" i="2" s="1"/>
  <c r="C48" i="2" l="1"/>
  <c r="E48" i="2" s="1"/>
  <c r="F48" i="2" s="1"/>
  <c r="G48" i="2" s="1"/>
  <c r="C49" i="2" l="1"/>
  <c r="E49" i="2" s="1"/>
  <c r="F49" i="2" s="1"/>
  <c r="G49" i="2" s="1"/>
  <c r="C50" i="2" l="1"/>
  <c r="E50" i="2" s="1"/>
  <c r="F50" i="2" s="1"/>
  <c r="G50" i="2" s="1"/>
  <c r="C51" i="2" l="1"/>
  <c r="E51" i="2" s="1"/>
  <c r="F51" i="2" s="1"/>
  <c r="G51" i="2" s="1"/>
  <c r="C52" i="2" l="1"/>
  <c r="E52" i="2" s="1"/>
  <c r="F52" i="2" s="1"/>
  <c r="G52" i="2" s="1"/>
  <c r="C53" i="2" l="1"/>
  <c r="E53" i="2" s="1"/>
  <c r="F53" i="2" s="1"/>
  <c r="G53" i="2" s="1"/>
  <c r="C54" i="2" l="1"/>
  <c r="E54" i="2" s="1"/>
  <c r="F54" i="2" s="1"/>
  <c r="G54" i="2" l="1"/>
  <c r="C55" i="2" l="1"/>
  <c r="E55" i="2" s="1"/>
  <c r="F55" i="2" s="1"/>
  <c r="G55" i="2" s="1"/>
  <c r="C56" i="2" l="1"/>
  <c r="E56" i="2" s="1"/>
  <c r="F56" i="2" s="1"/>
  <c r="G56" i="2" l="1"/>
  <c r="C57" i="2" s="1"/>
  <c r="E57" i="2" s="1"/>
  <c r="F57" i="2" s="1"/>
  <c r="G57" i="2" l="1"/>
  <c r="C58" i="2" s="1"/>
  <c r="E58" i="2" s="1"/>
  <c r="F58" i="2" s="1"/>
  <c r="G58" i="2" l="1"/>
  <c r="C59" i="2" s="1"/>
  <c r="E59" i="2" s="1"/>
  <c r="F59" i="2" s="1"/>
  <c r="G59" i="2" l="1"/>
  <c r="C60" i="2" s="1"/>
  <c r="E60" i="2" s="1"/>
  <c r="F60" i="2" s="1"/>
  <c r="G60" i="2" l="1"/>
  <c r="C61" i="2" s="1"/>
  <c r="E61" i="2" s="1"/>
  <c r="F61" i="2" s="1"/>
  <c r="G61" i="2" l="1"/>
  <c r="C62" i="2" s="1"/>
  <c r="E62" i="2" s="1"/>
  <c r="F62" i="2" s="1"/>
  <c r="G62" i="2" l="1"/>
  <c r="C63" i="2" s="1"/>
  <c r="E63" i="2" s="1"/>
  <c r="F63" i="2" s="1"/>
  <c r="G63" i="2" l="1"/>
  <c r="C64" i="2" s="1"/>
  <c r="E64" i="2" s="1"/>
  <c r="F64" i="2" s="1"/>
  <c r="G64" i="2" s="1"/>
  <c r="C65" i="2" l="1"/>
  <c r="E65" i="2" s="1"/>
  <c r="F65" i="2" s="1"/>
  <c r="G65" i="2" l="1"/>
  <c r="C66" i="2" s="1"/>
  <c r="E66" i="2" s="1"/>
  <c r="F66" i="2" s="1"/>
  <c r="G66" i="2" s="1"/>
  <c r="C67" i="2" l="1"/>
  <c r="E67" i="2" s="1"/>
  <c r="F67" i="2" s="1"/>
  <c r="G67" i="2" l="1"/>
  <c r="C68" i="2" s="1"/>
  <c r="E68" i="2" s="1"/>
  <c r="F68" i="2" s="1"/>
  <c r="G68" i="2" l="1"/>
  <c r="C69" i="2" l="1"/>
  <c r="E69" i="2" s="1"/>
  <c r="F69" i="2" s="1"/>
  <c r="G69" i="2" l="1"/>
  <c r="C70" i="2" s="1"/>
  <c r="E70" i="2" s="1"/>
  <c r="F70" i="2" s="1"/>
  <c r="G70" i="2" l="1"/>
  <c r="C71" i="2" l="1"/>
  <c r="E71" i="2" s="1"/>
  <c r="F71" i="2" s="1"/>
  <c r="G71" i="2" l="1"/>
  <c r="C72" i="2" s="1"/>
  <c r="E72" i="2" s="1"/>
  <c r="F72" i="2" s="1"/>
  <c r="G72" i="2" l="1"/>
  <c r="C73" i="2" s="1"/>
  <c r="D73" i="2" l="1"/>
  <c r="E73" i="2" l="1"/>
  <c r="F73" i="2" s="1"/>
  <c r="G73" i="2" s="1"/>
  <c r="C74" i="2" s="1"/>
  <c r="D74" i="2" s="1"/>
  <c r="E74" i="2" s="1"/>
  <c r="F74" i="2" s="1"/>
  <c r="G74" i="2" s="1"/>
  <c r="C75" i="2" s="1"/>
  <c r="D75" i="2" l="1"/>
  <c r="E75" i="2" l="1"/>
  <c r="F75" i="2" s="1"/>
  <c r="G75" i="2" s="1"/>
  <c r="C76" i="2" s="1"/>
  <c r="D76" i="2" s="1"/>
  <c r="E76" i="2" l="1"/>
  <c r="F76" i="2" s="1"/>
  <c r="G76" i="2" s="1"/>
  <c r="C77" i="2" s="1"/>
  <c r="D77" i="2" s="1"/>
  <c r="E77" i="2" l="1"/>
  <c r="F77" i="2" s="1"/>
  <c r="G77" i="2" s="1"/>
  <c r="C78" i="2" s="1"/>
  <c r="D78" i="2" s="1"/>
  <c r="E78" i="2" l="1"/>
  <c r="F78" i="2" s="1"/>
  <c r="G78" i="2" s="1"/>
  <c r="C79" i="2" l="1"/>
  <c r="D79" i="2" s="1"/>
  <c r="E79" i="2" s="1"/>
  <c r="F79" i="2" s="1"/>
  <c r="G79" i="2" s="1"/>
  <c r="C80" i="2" l="1"/>
  <c r="D80" i="2" s="1"/>
  <c r="E80" i="2" s="1"/>
  <c r="F80" i="2" s="1"/>
  <c r="G80" i="2" s="1"/>
  <c r="C81" i="2" l="1"/>
  <c r="D81" i="2" s="1"/>
  <c r="E81" i="2" s="1"/>
  <c r="F81" i="2" s="1"/>
  <c r="G81" i="2" s="1"/>
  <c r="C82" i="2" s="1"/>
  <c r="D82" i="2" s="1"/>
  <c r="E82" i="2" l="1"/>
  <c r="F82" i="2" s="1"/>
  <c r="G82" i="2" s="1"/>
  <c r="C83" i="2" s="1"/>
  <c r="D83" i="2" s="1"/>
  <c r="E83" i="2" l="1"/>
  <c r="F83" i="2" s="1"/>
  <c r="G83" i="2" s="1"/>
  <c r="C84" i="2" l="1"/>
  <c r="D84" i="2" s="1"/>
  <c r="J11" i="2" s="1"/>
  <c r="G58" i="3" s="1"/>
  <c r="E84" i="2" l="1"/>
  <c r="F84" i="2" s="1"/>
  <c r="G84" i="2" s="1"/>
  <c r="C85" i="2" s="1"/>
  <c r="D85" i="2" s="1"/>
  <c r="E85" i="2" s="1"/>
  <c r="F85" i="2" s="1"/>
  <c r="G85" i="2" s="1"/>
  <c r="G92" i="3"/>
  <c r="J92" i="3"/>
  <c r="H92" i="3"/>
  <c r="I92" i="3" s="1"/>
  <c r="H58" i="3"/>
  <c r="J58" i="3"/>
  <c r="I58" i="3" l="1"/>
  <c r="C86" i="2"/>
  <c r="D86" i="2" s="1"/>
  <c r="E86" i="2" s="1"/>
  <c r="F86" i="2" s="1"/>
  <c r="G86" i="2" s="1"/>
  <c r="K13" i="3"/>
  <c r="L13" i="3" s="1"/>
  <c r="M13" i="3" s="1"/>
  <c r="K92" i="3"/>
  <c r="G8" i="3"/>
  <c r="K58" i="3"/>
  <c r="H8" i="3" s="1"/>
  <c r="I8" i="3" s="1"/>
  <c r="C87" i="2" l="1"/>
  <c r="D87" i="2" s="1"/>
  <c r="E87" i="2" s="1"/>
  <c r="F87" i="2" s="1"/>
  <c r="G87" i="2" s="1"/>
  <c r="C88" i="2" l="1"/>
  <c r="D88" i="2" s="1"/>
  <c r="E88" i="2" s="1"/>
  <c r="F88" i="2" s="1"/>
  <c r="G88" i="2" s="1"/>
  <c r="C89" i="2" l="1"/>
  <c r="D89" i="2" s="1"/>
  <c r="E89" i="2" s="1"/>
  <c r="F89" i="2" s="1"/>
  <c r="G89" i="2" s="1"/>
  <c r="C90" i="2" l="1"/>
  <c r="D90" i="2" s="1"/>
  <c r="E90" i="2" s="1"/>
  <c r="F90" i="2" s="1"/>
  <c r="G90" i="2" s="1"/>
  <c r="C91" i="2" s="1"/>
  <c r="D91" i="2" l="1"/>
  <c r="E91" i="2" s="1"/>
  <c r="F91" i="2" s="1"/>
  <c r="G91" i="2"/>
  <c r="C92" i="2" s="1"/>
  <c r="D92" i="2" l="1"/>
  <c r="E92" i="2" s="1"/>
  <c r="F92" i="2" s="1"/>
  <c r="G92" i="2"/>
  <c r="C93" i="2" s="1"/>
  <c r="D93" i="2" l="1"/>
  <c r="E93" i="2" s="1"/>
  <c r="F93" i="2" s="1"/>
  <c r="G93" i="2" s="1"/>
  <c r="C94" i="2" s="1"/>
  <c r="D94" i="2" l="1"/>
  <c r="E94" i="2" s="1"/>
  <c r="F94" i="2" s="1"/>
  <c r="G94" i="2" s="1"/>
  <c r="C95" i="2" s="1"/>
  <c r="D95" i="2" l="1"/>
  <c r="E95" i="2" s="1"/>
  <c r="F95" i="2" s="1"/>
  <c r="G95" i="2" s="1"/>
  <c r="C96" i="2" s="1"/>
  <c r="D96" i="2" l="1"/>
  <c r="J12" i="2" s="1"/>
  <c r="G59" i="3" l="1"/>
  <c r="G93" i="3"/>
  <c r="E96" i="2"/>
  <c r="F96" i="2" s="1"/>
  <c r="G96" i="2" s="1"/>
  <c r="C97" i="2" s="1"/>
  <c r="D97" i="2" s="1"/>
  <c r="E97" i="2" s="1"/>
  <c r="F97" i="2" s="1"/>
  <c r="G97" i="2" s="1"/>
  <c r="C98" i="2" s="1"/>
  <c r="H93" i="3" l="1"/>
  <c r="I93" i="3" s="1"/>
  <c r="J93" i="3"/>
  <c r="J59" i="3"/>
  <c r="H59" i="3"/>
  <c r="D98" i="2"/>
  <c r="I59" i="3" l="1"/>
  <c r="D8" i="9"/>
  <c r="K14" i="3"/>
  <c r="L14" i="3" s="1"/>
  <c r="M14" i="3" s="1"/>
  <c r="K93" i="3"/>
  <c r="G9" i="3"/>
  <c r="K59" i="3"/>
  <c r="H9" i="3" s="1"/>
  <c r="I9" i="3" s="1"/>
  <c r="E98" i="2"/>
  <c r="F98" i="2" s="1"/>
  <c r="G98" i="2" s="1"/>
  <c r="C99" i="2" s="1"/>
  <c r="D99" i="2" s="1"/>
  <c r="E99" i="2" s="1"/>
  <c r="F99" i="2" s="1"/>
  <c r="G99" i="2" s="1"/>
  <c r="C100" i="2" s="1"/>
  <c r="D100" i="2" l="1"/>
  <c r="E100" i="2" l="1"/>
  <c r="F100" i="2" s="1"/>
  <c r="G100" i="2" s="1"/>
  <c r="C101" i="2" s="1"/>
  <c r="D101" i="2" s="1"/>
  <c r="E101" i="2" l="1"/>
  <c r="F101" i="2" s="1"/>
  <c r="G101" i="2" s="1"/>
  <c r="C102" i="2" s="1"/>
  <c r="D102" i="2" s="1"/>
  <c r="E102" i="2" s="1"/>
  <c r="F102" i="2" s="1"/>
  <c r="G102" i="2" s="1"/>
  <c r="C103" i="2" s="1"/>
  <c r="D103" i="2" l="1"/>
  <c r="E103" i="2" s="1"/>
  <c r="F103" i="2" s="1"/>
  <c r="G103" i="2"/>
  <c r="C104" i="2" s="1"/>
  <c r="D104" i="2" s="1"/>
  <c r="E104" i="2" l="1"/>
  <c r="F104" i="2" s="1"/>
  <c r="G104" i="2" s="1"/>
  <c r="C105" i="2" s="1"/>
  <c r="D105" i="2" l="1"/>
  <c r="E105" i="2" s="1"/>
  <c r="F105" i="2" s="1"/>
  <c r="G105" i="2" s="1"/>
  <c r="C106" i="2" s="1"/>
  <c r="D106" i="2" s="1"/>
  <c r="E106" i="2" l="1"/>
  <c r="F106" i="2" s="1"/>
  <c r="G106" i="2" s="1"/>
  <c r="C107" i="2" s="1"/>
  <c r="D107" i="2" l="1"/>
  <c r="E107" i="2" s="1"/>
  <c r="F107" i="2" s="1"/>
  <c r="G107" i="2" s="1"/>
  <c r="C108" i="2" s="1"/>
  <c r="D108" i="2" s="1"/>
  <c r="J13" i="2" l="1"/>
  <c r="G60" i="3" s="1"/>
  <c r="H60" i="3" s="1"/>
  <c r="E108" i="2"/>
  <c r="F108" i="2" s="1"/>
  <c r="G108" i="2" s="1"/>
  <c r="C109" i="2" s="1"/>
  <c r="D109" i="2" s="1"/>
  <c r="G94" i="3" l="1"/>
  <c r="H94" i="3" s="1"/>
  <c r="J60" i="3"/>
  <c r="K60" i="3" s="1"/>
  <c r="H10" i="3" s="1"/>
  <c r="I10" i="3" s="1"/>
  <c r="I60" i="3"/>
  <c r="E109" i="2"/>
  <c r="F109" i="2" s="1"/>
  <c r="G109" i="2" s="1"/>
  <c r="J94" i="3" l="1"/>
  <c r="K94" i="3" s="1"/>
  <c r="G10" i="3"/>
  <c r="I94" i="3"/>
  <c r="C110" i="2"/>
  <c r="D110" i="2" s="1"/>
  <c r="K15" i="3" l="1"/>
  <c r="L15" i="3" s="1"/>
  <c r="M15" i="3" s="1"/>
  <c r="E110" i="2"/>
  <c r="F110" i="2" s="1"/>
  <c r="G110" i="2" s="1"/>
  <c r="C111" i="2" l="1"/>
  <c r="D111" i="2" s="1"/>
  <c r="E111" i="2" s="1"/>
  <c r="F111" i="2" s="1"/>
  <c r="G111" i="2" s="1"/>
  <c r="C112" i="2" l="1"/>
  <c r="D112" i="2" s="1"/>
  <c r="E112" i="2" s="1"/>
  <c r="F112" i="2" l="1"/>
  <c r="G112" i="2"/>
  <c r="C113" i="2" l="1"/>
  <c r="D113" i="2" s="1"/>
  <c r="E113" i="2" l="1"/>
  <c r="F113" i="2"/>
  <c r="G113" i="2" s="1"/>
  <c r="C114" i="2" l="1"/>
  <c r="D114" i="2" s="1"/>
  <c r="E114" i="2" l="1"/>
  <c r="F114" i="2"/>
  <c r="G114" i="2" s="1"/>
  <c r="C115" i="2" l="1"/>
  <c r="D115" i="2" s="1"/>
  <c r="E115" i="2" l="1"/>
  <c r="F115" i="2" s="1"/>
  <c r="G115" i="2" s="1"/>
  <c r="C116" i="2" l="1"/>
  <c r="D116" i="2" s="1"/>
  <c r="E116" i="2" l="1"/>
  <c r="F116" i="2"/>
  <c r="G116" i="2" s="1"/>
  <c r="C117" i="2" l="1"/>
  <c r="D117" i="2" s="1"/>
  <c r="E117" i="2" l="1"/>
  <c r="F117" i="2" s="1"/>
  <c r="G117" i="2" s="1"/>
  <c r="C118" i="2" l="1"/>
  <c r="D118" i="2" s="1"/>
  <c r="E118" i="2" l="1"/>
  <c r="F118" i="2"/>
  <c r="G118" i="2" s="1"/>
  <c r="C119" i="2" l="1"/>
  <c r="D119" i="2" s="1"/>
  <c r="E119" i="2" l="1"/>
  <c r="F119" i="2" s="1"/>
  <c r="G119" i="2" s="1"/>
  <c r="C120" i="2" l="1"/>
  <c r="D120" i="2" s="1"/>
  <c r="E120" i="2" l="1"/>
  <c r="F120" i="2" s="1"/>
  <c r="G120" i="2" s="1"/>
  <c r="J14" i="2"/>
  <c r="C121" i="2" l="1"/>
  <c r="D121" i="2" s="1"/>
  <c r="G61" i="3"/>
  <c r="G95" i="3"/>
  <c r="H95" i="3" l="1"/>
  <c r="I95" i="3" s="1"/>
  <c r="J95" i="3"/>
  <c r="J61" i="3"/>
  <c r="H61" i="3"/>
  <c r="I61" i="3" s="1"/>
  <c r="E121" i="2"/>
  <c r="F121" i="2" s="1"/>
  <c r="G121" i="2" s="1"/>
  <c r="C122" i="2" l="1"/>
  <c r="D122" i="2" s="1"/>
  <c r="K61" i="3"/>
  <c r="H11" i="3" s="1"/>
  <c r="I11" i="3" s="1"/>
  <c r="G11" i="3"/>
  <c r="K16" i="3"/>
  <c r="L16" i="3" s="1"/>
  <c r="M16" i="3" s="1"/>
  <c r="K95" i="3"/>
  <c r="E122" i="2" l="1"/>
  <c r="F122" i="2"/>
  <c r="G122" i="2" s="1"/>
  <c r="C123" i="2" l="1"/>
  <c r="D123" i="2" s="1"/>
  <c r="E123" i="2" l="1"/>
  <c r="F123" i="2" s="1"/>
  <c r="G123" i="2" s="1"/>
  <c r="C124" i="2" l="1"/>
  <c r="D124" i="2" s="1"/>
  <c r="E124" i="2" l="1"/>
  <c r="F124" i="2"/>
  <c r="G124" i="2"/>
  <c r="C125" i="2" l="1"/>
  <c r="D125" i="2" s="1"/>
  <c r="E125" i="2" l="1"/>
  <c r="F125" i="2" s="1"/>
  <c r="G125" i="2" s="1"/>
  <c r="C126" i="2" l="1"/>
  <c r="D126" i="2" s="1"/>
  <c r="E126" i="2" l="1"/>
  <c r="F126" i="2" s="1"/>
  <c r="G126" i="2" s="1"/>
  <c r="C127" i="2" l="1"/>
  <c r="D127" i="2" s="1"/>
  <c r="E127" i="2" l="1"/>
  <c r="F127" i="2" s="1"/>
  <c r="G127" i="2" s="1"/>
  <c r="C128" i="2" l="1"/>
  <c r="D128" i="2" s="1"/>
  <c r="E128" i="2" l="1"/>
  <c r="F128" i="2"/>
  <c r="G128" i="2"/>
  <c r="C129" i="2" l="1"/>
  <c r="D129" i="2" s="1"/>
  <c r="E129" i="2" l="1"/>
  <c r="F129" i="2"/>
  <c r="G129" i="2" s="1"/>
  <c r="C130" i="2" l="1"/>
  <c r="D130" i="2" s="1"/>
  <c r="E130" i="2" l="1"/>
  <c r="F130" i="2"/>
  <c r="G130" i="2"/>
  <c r="C131" i="2" l="1"/>
  <c r="D131" i="2" s="1"/>
  <c r="E131" i="2" l="1"/>
  <c r="F131" i="2" s="1"/>
  <c r="G131" i="2" s="1"/>
  <c r="C132" i="2" l="1"/>
  <c r="D132" i="2" s="1"/>
  <c r="E132" i="2" l="1"/>
  <c r="F132" i="2"/>
  <c r="J15" i="2"/>
  <c r="G132" i="2"/>
  <c r="C133" i="2" l="1"/>
  <c r="D133" i="2" s="1"/>
  <c r="G62" i="3"/>
  <c r="G96" i="3"/>
  <c r="H96" i="3" l="1"/>
  <c r="J96" i="3"/>
  <c r="H62" i="3"/>
  <c r="I62" i="3" s="1"/>
  <c r="J62" i="3"/>
  <c r="E133" i="2"/>
  <c r="F133" i="2" s="1"/>
  <c r="G133" i="2" s="1"/>
  <c r="C134" i="2" l="1"/>
  <c r="D134" i="2" s="1"/>
  <c r="K62" i="3"/>
  <c r="H12" i="3" s="1"/>
  <c r="I12" i="3" s="1"/>
  <c r="G12" i="3"/>
  <c r="K96" i="3"/>
  <c r="K17" i="3"/>
  <c r="L17" i="3" s="1"/>
  <c r="M17" i="3" s="1"/>
  <c r="E134" i="2"/>
  <c r="F134" i="2" s="1"/>
  <c r="G134" i="2" s="1"/>
  <c r="I96" i="3"/>
  <c r="C135" i="2" l="1"/>
  <c r="D135" i="2" s="1"/>
  <c r="E135" i="2" s="1"/>
  <c r="F135" i="2" l="1"/>
  <c r="G135" i="2"/>
  <c r="C136" i="2" l="1"/>
  <c r="D136" i="2" s="1"/>
  <c r="E136" i="2" l="1"/>
  <c r="F136" i="2" s="1"/>
  <c r="G136" i="2" s="1"/>
  <c r="C137" i="2" l="1"/>
  <c r="D137" i="2" s="1"/>
  <c r="E137" i="2" l="1"/>
  <c r="F137" i="2"/>
  <c r="G137" i="2" s="1"/>
  <c r="C138" i="2" l="1"/>
  <c r="D138" i="2" s="1"/>
  <c r="E138" i="2" l="1"/>
  <c r="F138" i="2"/>
  <c r="G138" i="2" s="1"/>
  <c r="C139" i="2" l="1"/>
  <c r="D139" i="2" s="1"/>
  <c r="E139" i="2" l="1"/>
  <c r="F139" i="2"/>
  <c r="G139" i="2" s="1"/>
  <c r="C140" i="2" l="1"/>
  <c r="D140" i="2" s="1"/>
  <c r="E140" i="2" l="1"/>
  <c r="F140" i="2" s="1"/>
  <c r="G140" i="2" s="1"/>
  <c r="C141" i="2" l="1"/>
  <c r="D141" i="2" s="1"/>
  <c r="E141" i="2" l="1"/>
  <c r="F141" i="2" s="1"/>
  <c r="G141" i="2" s="1"/>
  <c r="C142" i="2" l="1"/>
  <c r="D142" i="2" s="1"/>
  <c r="E142" i="2" l="1"/>
  <c r="F142" i="2" s="1"/>
  <c r="G142" i="2" s="1"/>
  <c r="C143" i="2" l="1"/>
  <c r="D143" i="2" s="1"/>
  <c r="E143" i="2" l="1"/>
  <c r="F143" i="2" s="1"/>
  <c r="G143" i="2" s="1"/>
  <c r="C144" i="2" l="1"/>
  <c r="D144" i="2" s="1"/>
  <c r="E144" i="2" l="1"/>
  <c r="F144" i="2"/>
  <c r="G144" i="2" s="1"/>
  <c r="J16" i="2"/>
  <c r="G97" i="3" l="1"/>
  <c r="G63" i="3"/>
  <c r="C145" i="2"/>
  <c r="D145" i="2" s="1"/>
  <c r="E145" i="2" l="1"/>
  <c r="F145" i="2"/>
  <c r="G145" i="2" s="1"/>
  <c r="J63" i="3"/>
  <c r="H63" i="3"/>
  <c r="I63" i="3" s="1"/>
  <c r="H97" i="3"/>
  <c r="G105" i="3"/>
  <c r="J97" i="3"/>
  <c r="H105" i="3" l="1"/>
  <c r="I105" i="3" s="1"/>
  <c r="I97" i="3"/>
  <c r="C146" i="2"/>
  <c r="D146" i="2" s="1"/>
  <c r="K97" i="3"/>
  <c r="K105" i="3" s="1"/>
  <c r="K18" i="3"/>
  <c r="L18" i="3" s="1"/>
  <c r="J105" i="3"/>
  <c r="G13" i="3"/>
  <c r="K63" i="3"/>
  <c r="H13" i="3" s="1"/>
  <c r="I13" i="3" s="1"/>
  <c r="M18" i="3" l="1"/>
  <c r="D34" i="1"/>
  <c r="E146" i="2"/>
  <c r="F146" i="2" s="1"/>
  <c r="G146" i="2" s="1"/>
  <c r="C147" i="2" l="1"/>
  <c r="D147" i="2" s="1"/>
  <c r="E147" i="2" s="1"/>
  <c r="F147" i="2" s="1"/>
  <c r="G34" i="1"/>
  <c r="G32" i="1"/>
  <c r="E34" i="1"/>
  <c r="H34" i="1"/>
  <c r="G35" i="1"/>
  <c r="G147" i="2" l="1"/>
  <c r="C148" i="2" l="1"/>
  <c r="D148" i="2" s="1"/>
  <c r="E148" i="2" l="1"/>
  <c r="F148" i="2"/>
  <c r="G148" i="2"/>
  <c r="C149" i="2" l="1"/>
  <c r="D149" i="2" s="1"/>
  <c r="E149" i="2" l="1"/>
  <c r="F149" i="2"/>
  <c r="G149" i="2"/>
  <c r="C150" i="2" l="1"/>
  <c r="D150" i="2" s="1"/>
  <c r="E150" i="2" l="1"/>
  <c r="F150" i="2"/>
  <c r="G150" i="2" s="1"/>
  <c r="C151" i="2" l="1"/>
  <c r="D151" i="2" s="1"/>
  <c r="E151" i="2" l="1"/>
  <c r="F151" i="2" s="1"/>
  <c r="G151" i="2" s="1"/>
  <c r="C152" i="2" l="1"/>
  <c r="D152" i="2" s="1"/>
  <c r="E152" i="2" l="1"/>
  <c r="F152" i="2"/>
  <c r="G152" i="2"/>
  <c r="C153" i="2" l="1"/>
  <c r="D153" i="2" s="1"/>
  <c r="E153" i="2" l="1"/>
  <c r="F153" i="2" s="1"/>
  <c r="G153" i="2" s="1"/>
  <c r="C154" i="2" l="1"/>
  <c r="D154" i="2" s="1"/>
  <c r="E154" i="2" l="1"/>
  <c r="F154" i="2" s="1"/>
  <c r="G154" i="2" s="1"/>
  <c r="C155" i="2" l="1"/>
  <c r="D155" i="2" s="1"/>
  <c r="E155" i="2" l="1"/>
  <c r="F155" i="2" s="1"/>
  <c r="G155" i="2" s="1"/>
  <c r="C156" i="2" l="1"/>
  <c r="D156" i="2" s="1"/>
  <c r="E156" i="2" l="1"/>
  <c r="F156" i="2" s="1"/>
  <c r="G156" i="2" s="1"/>
  <c r="J17" i="2"/>
  <c r="G64" i="3" s="1"/>
  <c r="C157" i="2" l="1"/>
  <c r="D157" i="2" s="1"/>
  <c r="H64" i="3"/>
  <c r="I64" i="3" s="1"/>
  <c r="J64" i="3"/>
  <c r="K64" i="3" l="1"/>
  <c r="H14" i="3" s="1"/>
  <c r="I14" i="3" s="1"/>
  <c r="G14" i="3"/>
  <c r="E157" i="2"/>
  <c r="F157" i="2" s="1"/>
  <c r="G157" i="2" s="1"/>
  <c r="C158" i="2" l="1"/>
  <c r="D158" i="2" s="1"/>
  <c r="E158" i="2" l="1"/>
  <c r="F158" i="2"/>
  <c r="G158" i="2" s="1"/>
  <c r="C159" i="2" l="1"/>
  <c r="D159" i="2" s="1"/>
  <c r="E159" i="2" l="1"/>
  <c r="F159" i="2"/>
  <c r="G159" i="2" s="1"/>
  <c r="C160" i="2" l="1"/>
  <c r="D160" i="2" s="1"/>
  <c r="E160" i="2" l="1"/>
  <c r="F160" i="2"/>
  <c r="G160" i="2" s="1"/>
  <c r="C161" i="2" l="1"/>
  <c r="D161" i="2" s="1"/>
  <c r="E161" i="2" l="1"/>
  <c r="F161" i="2"/>
  <c r="G161" i="2" s="1"/>
  <c r="C162" i="2" l="1"/>
  <c r="D162" i="2" s="1"/>
  <c r="E162" i="2" l="1"/>
  <c r="F162" i="2" s="1"/>
  <c r="G162" i="2" s="1"/>
  <c r="C163" i="2" l="1"/>
  <c r="D163" i="2" s="1"/>
  <c r="E163" i="2" l="1"/>
  <c r="F163" i="2"/>
  <c r="G163" i="2" s="1"/>
  <c r="C164" i="2" l="1"/>
  <c r="D164" i="2" s="1"/>
  <c r="E164" i="2" l="1"/>
  <c r="F164" i="2"/>
  <c r="G164" i="2"/>
  <c r="C165" i="2" l="1"/>
  <c r="D165" i="2" s="1"/>
  <c r="E165" i="2" l="1"/>
  <c r="F165" i="2" s="1"/>
  <c r="G165" i="2" s="1"/>
  <c r="C166" i="2" l="1"/>
  <c r="D166" i="2" s="1"/>
  <c r="E166" i="2" l="1"/>
  <c r="F166" i="2"/>
  <c r="G166" i="2" s="1"/>
  <c r="C167" i="2" l="1"/>
  <c r="D167" i="2" s="1"/>
  <c r="E167" i="2" l="1"/>
  <c r="F167" i="2" s="1"/>
  <c r="G167" i="2" s="1"/>
  <c r="C168" i="2" l="1"/>
  <c r="D168" i="2" s="1"/>
  <c r="E168" i="2" l="1"/>
  <c r="F168" i="2"/>
  <c r="G168" i="2" s="1"/>
  <c r="J18" i="2"/>
  <c r="G65" i="3" s="1"/>
  <c r="C169" i="2" l="1"/>
  <c r="D169" i="2" s="1"/>
  <c r="J65" i="3"/>
  <c r="H65" i="3"/>
  <c r="I65" i="3" s="1"/>
  <c r="G15" i="3" l="1"/>
  <c r="K65" i="3"/>
  <c r="H15" i="3" s="1"/>
  <c r="I15" i="3" s="1"/>
  <c r="E169" i="2"/>
  <c r="F169" i="2" s="1"/>
  <c r="G169" i="2" s="1"/>
  <c r="C170" i="2" l="1"/>
  <c r="D170" i="2" s="1"/>
  <c r="E170" i="2" l="1"/>
  <c r="F170" i="2" s="1"/>
  <c r="G170" i="2" s="1"/>
  <c r="C171" i="2" l="1"/>
  <c r="D171" i="2" s="1"/>
  <c r="E171" i="2" l="1"/>
  <c r="F171" i="2" s="1"/>
  <c r="G171" i="2" s="1"/>
  <c r="C172" i="2" l="1"/>
  <c r="D172" i="2" s="1"/>
  <c r="E172" i="2" l="1"/>
  <c r="F172" i="2"/>
  <c r="G172" i="2" s="1"/>
  <c r="C173" i="2" l="1"/>
  <c r="D173" i="2" s="1"/>
  <c r="E173" i="2" l="1"/>
  <c r="F173" i="2" s="1"/>
  <c r="G173" i="2" s="1"/>
  <c r="C174" i="2" l="1"/>
  <c r="D174" i="2" s="1"/>
  <c r="E174" i="2" l="1"/>
  <c r="F174" i="2"/>
  <c r="G174" i="2"/>
  <c r="C175" i="2" l="1"/>
  <c r="D175" i="2" s="1"/>
  <c r="E175" i="2" l="1"/>
  <c r="F175" i="2"/>
  <c r="G175" i="2" s="1"/>
  <c r="C176" i="2" l="1"/>
  <c r="D176" i="2" s="1"/>
  <c r="E176" i="2" l="1"/>
  <c r="F176" i="2" s="1"/>
  <c r="G176" i="2" s="1"/>
  <c r="C177" i="2" l="1"/>
  <c r="D177" i="2" s="1"/>
  <c r="E177" i="2" l="1"/>
  <c r="F177" i="2"/>
  <c r="G177" i="2"/>
  <c r="C178" i="2" l="1"/>
  <c r="D178" i="2" s="1"/>
  <c r="E178" i="2" l="1"/>
  <c r="F178" i="2" s="1"/>
  <c r="G178" i="2" s="1"/>
  <c r="C179" i="2" l="1"/>
  <c r="D179" i="2" s="1"/>
  <c r="E179" i="2" l="1"/>
  <c r="F179" i="2"/>
  <c r="G179" i="2"/>
  <c r="C180" i="2" l="1"/>
  <c r="D180" i="2" s="1"/>
  <c r="E180" i="2" l="1"/>
  <c r="F180" i="2" s="1"/>
  <c r="G180" i="2" s="1"/>
  <c r="J19" i="2"/>
  <c r="G66" i="3" s="1"/>
  <c r="C181" i="2" l="1"/>
  <c r="D181" i="2" s="1"/>
  <c r="H66" i="3"/>
  <c r="J66" i="3"/>
  <c r="I66" i="3" l="1"/>
  <c r="G16" i="3"/>
  <c r="K66" i="3"/>
  <c r="H16" i="3" s="1"/>
  <c r="I16" i="3" s="1"/>
  <c r="E181" i="2"/>
  <c r="F181" i="2"/>
  <c r="G181" i="2" s="1"/>
  <c r="C182" i="2" l="1"/>
  <c r="D182" i="2" s="1"/>
  <c r="E182" i="2" l="1"/>
  <c r="F182" i="2" s="1"/>
  <c r="G182" i="2" s="1"/>
  <c r="C183" i="2" l="1"/>
  <c r="D183" i="2" s="1"/>
  <c r="E183" i="2" l="1"/>
  <c r="F183" i="2" s="1"/>
  <c r="G183" i="2" s="1"/>
  <c r="C184" i="2" l="1"/>
  <c r="D184" i="2" s="1"/>
  <c r="E184" i="2" l="1"/>
  <c r="F184" i="2"/>
  <c r="G184" i="2" s="1"/>
  <c r="C185" i="2" l="1"/>
  <c r="D185" i="2" s="1"/>
  <c r="E185" i="2" l="1"/>
  <c r="F185" i="2" s="1"/>
  <c r="G185" i="2" s="1"/>
  <c r="C186" i="2" l="1"/>
  <c r="D186" i="2" s="1"/>
  <c r="E186" i="2" l="1"/>
  <c r="F186" i="2"/>
  <c r="G186" i="2" s="1"/>
  <c r="C187" i="2" l="1"/>
  <c r="D187" i="2" s="1"/>
  <c r="E187" i="2" l="1"/>
  <c r="F187" i="2"/>
  <c r="G187" i="2" s="1"/>
  <c r="C188" i="2" l="1"/>
  <c r="D188" i="2" s="1"/>
  <c r="E188" i="2" l="1"/>
  <c r="F188" i="2" s="1"/>
  <c r="G188" i="2" s="1"/>
  <c r="C189" i="2" l="1"/>
  <c r="D189" i="2" s="1"/>
  <c r="E189" i="2" l="1"/>
  <c r="F189" i="2"/>
  <c r="G189" i="2" s="1"/>
  <c r="C190" i="2" l="1"/>
  <c r="D190" i="2" s="1"/>
  <c r="E190" i="2" l="1"/>
  <c r="F190" i="2" s="1"/>
  <c r="G190" i="2" s="1"/>
  <c r="C191" i="2" l="1"/>
  <c r="D191" i="2" s="1"/>
  <c r="E191" i="2" l="1"/>
  <c r="F191" i="2"/>
  <c r="G191" i="2" s="1"/>
  <c r="C192" i="2" l="1"/>
  <c r="D192" i="2" s="1"/>
  <c r="E192" i="2" l="1"/>
  <c r="F192" i="2" s="1"/>
  <c r="G192" i="2" s="1"/>
  <c r="J20" i="2"/>
  <c r="G67" i="3" s="1"/>
  <c r="C193" i="2" l="1"/>
  <c r="D193" i="2" s="1"/>
  <c r="H67" i="3"/>
  <c r="J67" i="3"/>
  <c r="I67" i="3" l="1"/>
  <c r="K67" i="3"/>
  <c r="H17" i="3" s="1"/>
  <c r="I17" i="3" s="1"/>
  <c r="G17" i="3"/>
  <c r="E193" i="2"/>
  <c r="F193" i="2"/>
  <c r="G193" i="2" s="1"/>
  <c r="C194" i="2" l="1"/>
  <c r="D194" i="2" s="1"/>
  <c r="E194" i="2" l="1"/>
  <c r="F194" i="2"/>
  <c r="G194" i="2" s="1"/>
  <c r="C195" i="2" l="1"/>
  <c r="D195" i="2" s="1"/>
  <c r="E195" i="2" l="1"/>
  <c r="F195" i="2"/>
  <c r="G195" i="2" s="1"/>
  <c r="C196" i="2" l="1"/>
  <c r="D196" i="2" s="1"/>
  <c r="E196" i="2" l="1"/>
  <c r="F196" i="2"/>
  <c r="G196" i="2" s="1"/>
  <c r="C197" i="2" l="1"/>
  <c r="D197" i="2" s="1"/>
  <c r="E197" i="2" l="1"/>
  <c r="F197" i="2" s="1"/>
  <c r="G197" i="2" s="1"/>
  <c r="C198" i="2" l="1"/>
  <c r="D198" i="2" s="1"/>
  <c r="E198" i="2" l="1"/>
  <c r="F198" i="2" s="1"/>
  <c r="G198" i="2" s="1"/>
  <c r="C199" i="2" l="1"/>
  <c r="D199" i="2" s="1"/>
  <c r="E199" i="2" l="1"/>
  <c r="F199" i="2"/>
  <c r="G199" i="2" s="1"/>
  <c r="C200" i="2" l="1"/>
  <c r="D200" i="2" s="1"/>
  <c r="E200" i="2" l="1"/>
  <c r="F200" i="2" s="1"/>
  <c r="G200" i="2" s="1"/>
  <c r="C201" i="2" l="1"/>
  <c r="D201" i="2" s="1"/>
  <c r="E201" i="2" l="1"/>
  <c r="F201" i="2"/>
  <c r="G201" i="2" s="1"/>
  <c r="C202" i="2" l="1"/>
  <c r="D202" i="2" s="1"/>
  <c r="E202" i="2" l="1"/>
  <c r="F202" i="2"/>
  <c r="G202" i="2" s="1"/>
  <c r="C203" i="2" l="1"/>
  <c r="D203" i="2" s="1"/>
  <c r="E203" i="2" l="1"/>
  <c r="F203" i="2"/>
  <c r="G203" i="2"/>
  <c r="C204" i="2" l="1"/>
  <c r="D204" i="2" s="1"/>
  <c r="E204" i="2" l="1"/>
  <c r="F204" i="2"/>
  <c r="J21" i="2"/>
  <c r="G68" i="3" s="1"/>
  <c r="G204" i="2"/>
  <c r="H68" i="3" l="1"/>
  <c r="J68" i="3"/>
  <c r="G205" i="2"/>
  <c r="C205" i="2"/>
  <c r="D205" i="2" s="1"/>
  <c r="E205" i="2" l="1"/>
  <c r="F205" i="2"/>
  <c r="J22" i="2"/>
  <c r="G69" i="3" s="1"/>
  <c r="G18" i="3"/>
  <c r="K68" i="3"/>
  <c r="J76" i="3"/>
  <c r="C206" i="2"/>
  <c r="D206" i="2" s="1"/>
  <c r="G206" i="2"/>
  <c r="G21" i="1"/>
  <c r="I68" i="3"/>
  <c r="E110" i="3" l="1"/>
  <c r="C20" i="1"/>
  <c r="D6" i="9" s="1"/>
  <c r="J69" i="3"/>
  <c r="K69" i="3" s="1"/>
  <c r="H69" i="3"/>
  <c r="K76" i="3"/>
  <c r="H18" i="3"/>
  <c r="G207" i="2"/>
  <c r="C207" i="2"/>
  <c r="D207" i="2" s="1"/>
  <c r="F206" i="2"/>
  <c r="E206" i="2"/>
  <c r="J23" i="2"/>
  <c r="G70" i="3" s="1"/>
  <c r="H70" i="3" l="1"/>
  <c r="J70" i="3"/>
  <c r="K70" i="3" s="1"/>
  <c r="I69" i="3"/>
  <c r="C208" i="2"/>
  <c r="D208" i="2" s="1"/>
  <c r="G208" i="2"/>
  <c r="D33" i="1"/>
  <c r="I18" i="3"/>
  <c r="F207" i="2"/>
  <c r="E207" i="2"/>
  <c r="J24" i="2"/>
  <c r="G71" i="3" s="1"/>
  <c r="I70" i="3" l="1"/>
  <c r="J71" i="3"/>
  <c r="K71" i="3" s="1"/>
  <c r="H71" i="3"/>
  <c r="G209" i="2"/>
  <c r="C209" i="2"/>
  <c r="D209" i="2" s="1"/>
  <c r="G33" i="1"/>
  <c r="E33" i="1"/>
  <c r="F32" i="1"/>
  <c r="F33" i="1"/>
  <c r="F35" i="1"/>
  <c r="F34" i="1"/>
  <c r="H33" i="1"/>
  <c r="E208" i="2"/>
  <c r="F208" i="2"/>
  <c r="J25" i="2"/>
  <c r="G72" i="3" s="1"/>
  <c r="J72" i="3" l="1"/>
  <c r="K72" i="3" s="1"/>
  <c r="H72" i="3"/>
  <c r="I71" i="3"/>
  <c r="F209" i="2"/>
  <c r="E209" i="2"/>
  <c r="J26" i="2"/>
  <c r="G73" i="3" s="1"/>
  <c r="G210" i="2"/>
  <c r="C210" i="2"/>
  <c r="D210" i="2" s="1"/>
  <c r="I72" i="3" l="1"/>
  <c r="H73" i="3"/>
  <c r="J73" i="3"/>
  <c r="K73" i="3" s="1"/>
  <c r="F210" i="2"/>
  <c r="E210" i="2"/>
  <c r="J27" i="2"/>
  <c r="G74" i="3" s="1"/>
  <c r="C211" i="2"/>
  <c r="D211" i="2" s="1"/>
  <c r="G211" i="2"/>
  <c r="J74" i="3" l="1"/>
  <c r="K74" i="3" s="1"/>
  <c r="H74" i="3"/>
  <c r="G76" i="3"/>
  <c r="D110" i="3" s="1"/>
  <c r="I73" i="3"/>
  <c r="H76" i="3"/>
  <c r="G212" i="2"/>
  <c r="C212" i="2"/>
  <c r="D212" i="2" s="1"/>
  <c r="F211" i="2"/>
  <c r="E211" i="2"/>
  <c r="J28" i="2"/>
  <c r="I76" i="3" l="1"/>
  <c r="I74" i="3"/>
  <c r="E212" i="2"/>
  <c r="F212" i="2"/>
  <c r="J29" i="2"/>
  <c r="C213" i="2"/>
  <c r="D213" i="2" s="1"/>
  <c r="G213" i="2"/>
  <c r="G214" i="2" l="1"/>
  <c r="C214" i="2"/>
  <c r="D214" i="2" s="1"/>
  <c r="F213" i="2"/>
  <c r="E213" i="2"/>
  <c r="J30" i="2"/>
  <c r="E214" i="2" l="1"/>
  <c r="F214" i="2"/>
  <c r="J31" i="2"/>
  <c r="G215" i="2"/>
  <c r="C215" i="2"/>
  <c r="D215" i="2" s="1"/>
  <c r="F215" i="2" l="1"/>
  <c r="E215" i="2"/>
  <c r="G216" i="2"/>
  <c r="C216" i="2"/>
  <c r="D216" i="2" s="1"/>
  <c r="F216" i="2" l="1"/>
  <c r="E216" i="2"/>
  <c r="G217" i="2"/>
  <c r="C217" i="2"/>
  <c r="D217" i="2" s="1"/>
  <c r="F217" i="2" l="1"/>
  <c r="E217" i="2"/>
  <c r="C218" i="2"/>
  <c r="D218" i="2" s="1"/>
  <c r="G218" i="2"/>
  <c r="C219" i="2" l="1"/>
  <c r="D219" i="2" s="1"/>
  <c r="G219" i="2"/>
  <c r="F218" i="2"/>
  <c r="E218" i="2"/>
  <c r="G220" i="2" l="1"/>
  <c r="C220" i="2"/>
  <c r="D220" i="2" s="1"/>
  <c r="F219" i="2"/>
  <c r="E219" i="2"/>
  <c r="F220" i="2" l="1"/>
  <c r="E220" i="2"/>
  <c r="C221" i="2"/>
  <c r="D221" i="2" s="1"/>
  <c r="G221" i="2"/>
  <c r="F221" i="2" l="1"/>
  <c r="E221" i="2"/>
  <c r="G222" i="2"/>
  <c r="C222" i="2"/>
  <c r="D222" i="2" s="1"/>
  <c r="E222" i="2" l="1"/>
  <c r="F222" i="2"/>
  <c r="G223" i="2"/>
  <c r="C223" i="2"/>
  <c r="D223" i="2" s="1"/>
  <c r="F223" i="2" l="1"/>
  <c r="E223" i="2"/>
  <c r="C224" i="2"/>
  <c r="D224" i="2" s="1"/>
  <c r="G224" i="2"/>
  <c r="C225" i="2" l="1"/>
  <c r="D225" i="2" s="1"/>
  <c r="G225" i="2"/>
  <c r="E224" i="2"/>
  <c r="F224" i="2"/>
  <c r="C226" i="2" l="1"/>
  <c r="D226" i="2" s="1"/>
  <c r="G226" i="2"/>
  <c r="F225" i="2"/>
  <c r="E225" i="2"/>
  <c r="G227" i="2" l="1"/>
  <c r="C227" i="2"/>
  <c r="D227" i="2" s="1"/>
  <c r="E226" i="2"/>
  <c r="F226" i="2"/>
  <c r="F227" i="2" l="1"/>
  <c r="E227" i="2"/>
  <c r="C228" i="2"/>
  <c r="D228" i="2" s="1"/>
  <c r="G228" i="2"/>
  <c r="C229" i="2" l="1"/>
  <c r="D229" i="2" s="1"/>
  <c r="G229" i="2"/>
  <c r="F228" i="2"/>
  <c r="E228" i="2"/>
  <c r="C230" i="2" l="1"/>
  <c r="D230" i="2" s="1"/>
  <c r="G230" i="2"/>
  <c r="E229" i="2"/>
  <c r="F229" i="2"/>
  <c r="C231" i="2" l="1"/>
  <c r="D231" i="2" s="1"/>
  <c r="G231" i="2"/>
  <c r="E230" i="2"/>
  <c r="F230" i="2"/>
  <c r="G232" i="2" l="1"/>
  <c r="C232" i="2"/>
  <c r="D232" i="2" s="1"/>
  <c r="E231" i="2"/>
  <c r="F231" i="2"/>
  <c r="F232" i="2" l="1"/>
  <c r="E232" i="2"/>
  <c r="G233" i="2"/>
  <c r="C233" i="2"/>
  <c r="D233" i="2" s="1"/>
  <c r="E233" i="2" l="1"/>
  <c r="F233" i="2"/>
  <c r="C234" i="2"/>
  <c r="D234" i="2" s="1"/>
  <c r="G234" i="2"/>
  <c r="G235" i="2" l="1"/>
  <c r="C235" i="2"/>
  <c r="D235" i="2" s="1"/>
  <c r="E234" i="2"/>
  <c r="F234" i="2"/>
  <c r="E235" i="2" l="1"/>
  <c r="F235" i="2"/>
  <c r="C236" i="2"/>
  <c r="D236" i="2" s="1"/>
  <c r="G236" i="2"/>
  <c r="F236" i="2" l="1"/>
  <c r="E236" i="2"/>
  <c r="G237" i="2"/>
  <c r="C237" i="2"/>
  <c r="D237" i="2" s="1"/>
  <c r="F237" i="2" l="1"/>
  <c r="E237" i="2"/>
  <c r="C238" i="2"/>
  <c r="D238" i="2" s="1"/>
  <c r="G238" i="2"/>
  <c r="C239" i="2" l="1"/>
  <c r="D239" i="2" s="1"/>
  <c r="G239" i="2"/>
  <c r="F238" i="2"/>
  <c r="E238" i="2"/>
  <c r="G240" i="2" l="1"/>
  <c r="C240" i="2"/>
  <c r="D240" i="2" s="1"/>
  <c r="E239" i="2"/>
  <c r="F239" i="2"/>
  <c r="E240" i="2" l="1"/>
  <c r="F240" i="2"/>
  <c r="C241" i="2"/>
  <c r="D241" i="2" s="1"/>
  <c r="G241" i="2"/>
  <c r="C242" i="2" l="1"/>
  <c r="D242" i="2" s="1"/>
  <c r="G242" i="2"/>
  <c r="E241" i="2"/>
  <c r="F241" i="2"/>
  <c r="G243" i="2" l="1"/>
  <c r="C243" i="2"/>
  <c r="D243" i="2" s="1"/>
  <c r="E242" i="2"/>
  <c r="F242" i="2"/>
  <c r="E243" i="2" l="1"/>
  <c r="F243" i="2"/>
  <c r="C244" i="2"/>
  <c r="D244" i="2" s="1"/>
  <c r="G244" i="2"/>
  <c r="G245" i="2" l="1"/>
  <c r="C245" i="2"/>
  <c r="D245" i="2" s="1"/>
  <c r="F244" i="2"/>
  <c r="E244" i="2"/>
  <c r="E245" i="2" l="1"/>
  <c r="F245" i="2"/>
  <c r="C246" i="2"/>
  <c r="D246" i="2" s="1"/>
  <c r="G246" i="2"/>
  <c r="G247" i="2" l="1"/>
  <c r="C247" i="2"/>
  <c r="D247" i="2" s="1"/>
  <c r="F246" i="2"/>
  <c r="E246" i="2"/>
  <c r="F247" i="2" l="1"/>
  <c r="E247" i="2"/>
  <c r="C248" i="2"/>
  <c r="D248" i="2" s="1"/>
  <c r="G248" i="2"/>
  <c r="G249" i="2" l="1"/>
  <c r="C249" i="2"/>
  <c r="D249" i="2" s="1"/>
  <c r="F248" i="2"/>
  <c r="E248" i="2"/>
  <c r="F249" i="2" l="1"/>
  <c r="E249" i="2"/>
  <c r="C250" i="2"/>
  <c r="D250" i="2" s="1"/>
  <c r="G250" i="2"/>
  <c r="G251" i="2" l="1"/>
  <c r="C251" i="2"/>
  <c r="D251" i="2" s="1"/>
  <c r="E250" i="2"/>
  <c r="F250" i="2"/>
  <c r="F251" i="2" l="1"/>
  <c r="E251" i="2"/>
  <c r="G252" i="2"/>
  <c r="C252" i="2"/>
  <c r="D252" i="2" s="1"/>
  <c r="E252" i="2" l="1"/>
  <c r="F252" i="2"/>
  <c r="C253" i="2"/>
  <c r="D253" i="2" s="1"/>
  <c r="G253" i="2"/>
  <c r="C254" i="2" l="1"/>
  <c r="D254" i="2" s="1"/>
  <c r="G254" i="2"/>
  <c r="E253" i="2"/>
  <c r="F253" i="2"/>
  <c r="C255" i="2" l="1"/>
  <c r="D255" i="2" s="1"/>
  <c r="G255" i="2"/>
  <c r="F254" i="2"/>
  <c r="E254" i="2"/>
  <c r="G256" i="2" l="1"/>
  <c r="C256" i="2"/>
  <c r="D256" i="2" s="1"/>
  <c r="E255" i="2"/>
  <c r="F255" i="2"/>
  <c r="F256" i="2" l="1"/>
  <c r="E256" i="2"/>
  <c r="C257" i="2"/>
  <c r="D257" i="2" s="1"/>
  <c r="G257" i="2"/>
  <c r="G258" i="2" l="1"/>
  <c r="C258" i="2"/>
  <c r="D258" i="2" s="1"/>
  <c r="E257" i="2"/>
  <c r="F257" i="2"/>
  <c r="E258" i="2" l="1"/>
  <c r="F258" i="2"/>
  <c r="G259" i="2"/>
  <c r="C259" i="2"/>
  <c r="D259" i="2" s="1"/>
  <c r="E259" i="2" l="1"/>
  <c r="F259" i="2"/>
  <c r="G260" i="2"/>
  <c r="C260" i="2"/>
  <c r="D260" i="2" s="1"/>
  <c r="E260" i="2" l="1"/>
  <c r="F260" i="2"/>
  <c r="C261" i="2"/>
  <c r="D261" i="2" s="1"/>
  <c r="G261" i="2"/>
  <c r="G262" i="2" l="1"/>
  <c r="C262" i="2"/>
  <c r="D262" i="2" s="1"/>
  <c r="E261" i="2"/>
  <c r="F261" i="2"/>
  <c r="F262" i="2" l="1"/>
  <c r="E262" i="2"/>
  <c r="G263" i="2"/>
  <c r="C263" i="2"/>
  <c r="D263" i="2" s="1"/>
  <c r="E263" i="2" l="1"/>
  <c r="F263" i="2"/>
  <c r="G264" i="2"/>
  <c r="C264" i="2"/>
  <c r="D264" i="2" s="1"/>
  <c r="F264" i="2" l="1"/>
  <c r="E264" i="2"/>
  <c r="G265" i="2"/>
  <c r="C265" i="2"/>
  <c r="D265" i="2" s="1"/>
  <c r="E265" i="2" l="1"/>
  <c r="F265" i="2"/>
  <c r="C266" i="2"/>
  <c r="D266" i="2" s="1"/>
  <c r="G266" i="2"/>
  <c r="G267" i="2" l="1"/>
  <c r="C267" i="2"/>
  <c r="D267" i="2" s="1"/>
  <c r="F266" i="2"/>
  <c r="E266" i="2"/>
  <c r="F267" i="2" l="1"/>
  <c r="E267" i="2"/>
  <c r="G268" i="2"/>
  <c r="C268" i="2"/>
  <c r="D268" i="2" s="1"/>
  <c r="F268" i="2" l="1"/>
  <c r="E268" i="2"/>
  <c r="G269" i="2"/>
  <c r="C269" i="2"/>
  <c r="D269" i="2" s="1"/>
  <c r="F269" i="2" l="1"/>
  <c r="E269" i="2"/>
  <c r="C270" i="2"/>
  <c r="D270" i="2" s="1"/>
  <c r="G270" i="2"/>
  <c r="C271" i="2" l="1"/>
  <c r="D271" i="2" s="1"/>
  <c r="G271" i="2"/>
  <c r="E270" i="2"/>
  <c r="F270" i="2"/>
  <c r="C272" i="2" l="1"/>
  <c r="D272" i="2" s="1"/>
  <c r="G272" i="2"/>
  <c r="E271" i="2"/>
  <c r="F271" i="2"/>
  <c r="G273" i="2" l="1"/>
  <c r="C273" i="2"/>
  <c r="D273" i="2" s="1"/>
  <c r="E272" i="2"/>
  <c r="F272" i="2"/>
  <c r="E273" i="2" l="1"/>
  <c r="F273" i="2"/>
  <c r="G274" i="2"/>
  <c r="C274" i="2"/>
  <c r="D274" i="2" s="1"/>
  <c r="F274" i="2" l="1"/>
  <c r="E274" i="2"/>
  <c r="G275" i="2"/>
  <c r="C275" i="2"/>
  <c r="D275" i="2" s="1"/>
  <c r="E275" i="2" l="1"/>
  <c r="F275" i="2"/>
  <c r="G276" i="2"/>
  <c r="C276" i="2"/>
  <c r="D276" i="2" s="1"/>
  <c r="C277" i="2" l="1"/>
  <c r="D277" i="2" s="1"/>
  <c r="G277" i="2"/>
  <c r="E276" i="2"/>
  <c r="F276" i="2"/>
  <c r="G278" i="2" l="1"/>
  <c r="C278" i="2"/>
  <c r="D278" i="2" s="1"/>
  <c r="F277" i="2"/>
  <c r="E277" i="2"/>
  <c r="F278" i="2" l="1"/>
  <c r="E278" i="2"/>
  <c r="C279" i="2"/>
  <c r="D279" i="2" s="1"/>
  <c r="G279" i="2"/>
  <c r="C280" i="2" l="1"/>
  <c r="D280" i="2" s="1"/>
  <c r="G280" i="2"/>
  <c r="F279" i="2"/>
  <c r="E279" i="2"/>
  <c r="C281" i="2" l="1"/>
  <c r="D281" i="2" s="1"/>
  <c r="G281" i="2"/>
  <c r="F280" i="2"/>
  <c r="E280" i="2"/>
  <c r="G282" i="2" l="1"/>
  <c r="C282" i="2"/>
  <c r="D282" i="2" s="1"/>
  <c r="F281" i="2"/>
  <c r="E281" i="2"/>
  <c r="E282" i="2" l="1"/>
  <c r="F282" i="2"/>
  <c r="G283" i="2"/>
  <c r="C283" i="2"/>
  <c r="D283" i="2" s="1"/>
  <c r="E283" i="2" l="1"/>
  <c r="F283" i="2"/>
  <c r="G284" i="2"/>
  <c r="C284" i="2"/>
  <c r="D284" i="2" s="1"/>
  <c r="E284" i="2" l="1"/>
  <c r="F284" i="2"/>
  <c r="C285" i="2"/>
  <c r="D285" i="2" s="1"/>
  <c r="G285" i="2"/>
  <c r="G286" i="2" l="1"/>
  <c r="C286" i="2"/>
  <c r="D286" i="2" s="1"/>
  <c r="E285" i="2"/>
  <c r="F285" i="2"/>
  <c r="E286" i="2" l="1"/>
  <c r="F286" i="2"/>
  <c r="C287" i="2"/>
  <c r="D287" i="2" s="1"/>
  <c r="G287" i="2"/>
  <c r="E287" i="2" l="1"/>
  <c r="F287" i="2"/>
  <c r="G288" i="2"/>
  <c r="C288" i="2"/>
  <c r="D288" i="2" s="1"/>
  <c r="E288" i="2" l="1"/>
  <c r="F288" i="2"/>
  <c r="G289" i="2"/>
  <c r="C289" i="2"/>
  <c r="D289" i="2" s="1"/>
  <c r="F289" i="2" l="1"/>
  <c r="E289" i="2"/>
  <c r="C290" i="2"/>
  <c r="D290" i="2" s="1"/>
  <c r="G290" i="2"/>
  <c r="G291" i="2" l="1"/>
  <c r="C291" i="2"/>
  <c r="D291" i="2" s="1"/>
  <c r="E290" i="2"/>
  <c r="F290" i="2"/>
  <c r="E291" i="2" l="1"/>
  <c r="F291" i="2"/>
  <c r="G292" i="2"/>
  <c r="C292" i="2"/>
  <c r="D292" i="2" s="1"/>
  <c r="E292" i="2" l="1"/>
  <c r="F292" i="2"/>
  <c r="G293" i="2"/>
  <c r="C293" i="2"/>
  <c r="D293" i="2" s="1"/>
  <c r="E293" i="2" l="1"/>
  <c r="F293" i="2"/>
  <c r="G294" i="2"/>
  <c r="C294" i="2"/>
  <c r="D294" i="2" s="1"/>
  <c r="F294" i="2" l="1"/>
  <c r="E294" i="2"/>
  <c r="C295" i="2"/>
  <c r="D295" i="2" s="1"/>
  <c r="G295" i="2"/>
  <c r="C296" i="2" l="1"/>
  <c r="D296" i="2" s="1"/>
  <c r="G296" i="2"/>
  <c r="E295" i="2"/>
  <c r="F295" i="2"/>
  <c r="G297" i="2" l="1"/>
  <c r="C297" i="2"/>
  <c r="D297" i="2" s="1"/>
  <c r="F296" i="2"/>
  <c r="E296" i="2"/>
  <c r="F297" i="2" l="1"/>
  <c r="E297" i="2"/>
  <c r="G298" i="2"/>
  <c r="C298" i="2"/>
  <c r="D298" i="2" s="1"/>
  <c r="F298" i="2" l="1"/>
  <c r="E298" i="2"/>
  <c r="G299" i="2"/>
  <c r="C299" i="2"/>
  <c r="D299" i="2" s="1"/>
  <c r="E299" i="2" l="1"/>
  <c r="F299" i="2"/>
  <c r="G300" i="2"/>
  <c r="C300" i="2"/>
  <c r="D300" i="2" s="1"/>
  <c r="G301" i="2" l="1"/>
  <c r="C301" i="2"/>
  <c r="D301" i="2" s="1"/>
  <c r="F300" i="2"/>
  <c r="E300" i="2"/>
  <c r="F301" i="2" l="1"/>
  <c r="E301" i="2"/>
  <c r="G302" i="2"/>
  <c r="C302" i="2"/>
  <c r="D302" i="2" s="1"/>
  <c r="C303" i="2" l="1"/>
  <c r="D303" i="2" s="1"/>
  <c r="G303" i="2"/>
  <c r="F302" i="2"/>
  <c r="E302" i="2"/>
  <c r="C304" i="2" l="1"/>
  <c r="D304" i="2" s="1"/>
  <c r="G304" i="2"/>
  <c r="E303" i="2"/>
  <c r="F303" i="2"/>
  <c r="C305" i="2" l="1"/>
  <c r="D305" i="2" s="1"/>
  <c r="G305" i="2"/>
  <c r="F304" i="2"/>
  <c r="E304" i="2"/>
  <c r="C306" i="2" l="1"/>
  <c r="D306" i="2" s="1"/>
  <c r="G306" i="2"/>
  <c r="E305" i="2"/>
  <c r="F305" i="2"/>
  <c r="G307" i="2" l="1"/>
  <c r="C307" i="2"/>
  <c r="D307" i="2" s="1"/>
  <c r="F306" i="2"/>
  <c r="E306" i="2"/>
  <c r="F307" i="2" l="1"/>
  <c r="E307" i="2"/>
  <c r="G308" i="2"/>
  <c r="C308" i="2"/>
  <c r="D308" i="2" s="1"/>
  <c r="C309" i="2" l="1"/>
  <c r="D309" i="2" s="1"/>
  <c r="G309" i="2"/>
  <c r="E308" i="2"/>
  <c r="F308" i="2"/>
  <c r="C310" i="2" l="1"/>
  <c r="D310" i="2" s="1"/>
  <c r="G310" i="2"/>
  <c r="E309" i="2"/>
  <c r="F309" i="2"/>
  <c r="C311" i="2" l="1"/>
  <c r="D311" i="2" s="1"/>
  <c r="G311" i="2"/>
  <c r="F310" i="2"/>
  <c r="E310" i="2"/>
  <c r="G312" i="2" l="1"/>
  <c r="C312" i="2"/>
  <c r="D312" i="2" s="1"/>
  <c r="F311" i="2"/>
  <c r="E311" i="2"/>
  <c r="F312" i="2" l="1"/>
  <c r="E312" i="2"/>
  <c r="C313" i="2"/>
  <c r="D313" i="2" s="1"/>
  <c r="G313" i="2"/>
  <c r="C314" i="2" l="1"/>
  <c r="D314" i="2" s="1"/>
  <c r="G314" i="2"/>
  <c r="F313" i="2"/>
  <c r="E313" i="2"/>
  <c r="G315" i="2" l="1"/>
  <c r="C315" i="2"/>
  <c r="D315" i="2" s="1"/>
  <c r="E314" i="2"/>
  <c r="F314" i="2"/>
  <c r="F315" i="2" l="1"/>
  <c r="E315" i="2"/>
  <c r="C316" i="2"/>
  <c r="D316" i="2" s="1"/>
  <c r="G316" i="2"/>
  <c r="E316" i="2" l="1"/>
  <c r="F316" i="2"/>
  <c r="G317" i="2"/>
  <c r="C317" i="2"/>
  <c r="D317" i="2" s="1"/>
  <c r="F317" i="2" l="1"/>
  <c r="E317" i="2"/>
  <c r="G318" i="2"/>
  <c r="C318" i="2"/>
  <c r="D318" i="2" s="1"/>
  <c r="F318" i="2" l="1"/>
  <c r="E318" i="2"/>
  <c r="G319" i="2"/>
  <c r="C319" i="2"/>
  <c r="D319" i="2" s="1"/>
  <c r="F319" i="2" l="1"/>
  <c r="E319" i="2"/>
  <c r="C320" i="2"/>
  <c r="D320" i="2" s="1"/>
  <c r="G320" i="2"/>
  <c r="C321" i="2" l="1"/>
  <c r="D321" i="2" s="1"/>
  <c r="G321" i="2"/>
  <c r="E320" i="2"/>
  <c r="F320" i="2"/>
  <c r="G322" i="2" l="1"/>
  <c r="C322" i="2"/>
  <c r="D322" i="2" s="1"/>
  <c r="F321" i="2"/>
  <c r="E321" i="2"/>
  <c r="E322" i="2" l="1"/>
  <c r="F322" i="2"/>
  <c r="G323" i="2"/>
  <c r="C323" i="2"/>
  <c r="D323" i="2" s="1"/>
  <c r="E323" i="2" l="1"/>
  <c r="F323" i="2"/>
  <c r="G324" i="2"/>
  <c r="C324" i="2"/>
  <c r="D324" i="2" s="1"/>
  <c r="F324" i="2" l="1"/>
  <c r="E324" i="2"/>
  <c r="C325" i="2"/>
  <c r="D325" i="2" s="1"/>
  <c r="G325" i="2"/>
  <c r="C326" i="2" l="1"/>
  <c r="D326" i="2" s="1"/>
  <c r="G326" i="2"/>
  <c r="F325" i="2"/>
  <c r="E325" i="2"/>
  <c r="G327" i="2" l="1"/>
  <c r="C327" i="2"/>
  <c r="D327" i="2" s="1"/>
  <c r="E326" i="2"/>
  <c r="F326" i="2"/>
  <c r="F327" i="2" l="1"/>
  <c r="E327" i="2"/>
  <c r="C328" i="2"/>
  <c r="D328" i="2" s="1"/>
  <c r="G328" i="2"/>
  <c r="G329" i="2" l="1"/>
  <c r="C329" i="2"/>
  <c r="D329" i="2" s="1"/>
  <c r="E328" i="2"/>
  <c r="F328" i="2"/>
  <c r="E329" i="2" l="1"/>
  <c r="F329" i="2"/>
  <c r="C330" i="2"/>
  <c r="D330" i="2" s="1"/>
  <c r="G330" i="2"/>
  <c r="G331" i="2" l="1"/>
  <c r="C331" i="2"/>
  <c r="D331" i="2" s="1"/>
  <c r="F330" i="2"/>
  <c r="E330" i="2"/>
  <c r="E331" i="2" l="1"/>
  <c r="F331" i="2"/>
  <c r="C332" i="2"/>
  <c r="D332" i="2" s="1"/>
  <c r="G332" i="2"/>
  <c r="C333" i="2" l="1"/>
  <c r="D333" i="2" s="1"/>
  <c r="G333" i="2"/>
  <c r="E332" i="2"/>
  <c r="F332" i="2"/>
  <c r="C334" i="2" l="1"/>
  <c r="D334" i="2" s="1"/>
  <c r="G334" i="2"/>
  <c r="F333" i="2"/>
  <c r="E333" i="2"/>
  <c r="C335" i="2" l="1"/>
  <c r="D335" i="2" s="1"/>
  <c r="G335" i="2"/>
  <c r="E334" i="2"/>
  <c r="F334" i="2"/>
  <c r="C336" i="2" l="1"/>
  <c r="D336" i="2" s="1"/>
  <c r="G336" i="2"/>
  <c r="E335" i="2"/>
  <c r="F335" i="2"/>
  <c r="G337" i="2" l="1"/>
  <c r="C337" i="2"/>
  <c r="D337" i="2" s="1"/>
  <c r="F336" i="2"/>
  <c r="E336" i="2"/>
  <c r="E337" i="2" l="1"/>
  <c r="F337" i="2"/>
  <c r="G338" i="2"/>
  <c r="C338" i="2"/>
  <c r="D338" i="2" s="1"/>
  <c r="F338" i="2" l="1"/>
  <c r="E338" i="2"/>
  <c r="C339" i="2"/>
  <c r="D339" i="2" s="1"/>
  <c r="G339" i="2"/>
  <c r="C340" i="2" l="1"/>
  <c r="D340" i="2" s="1"/>
  <c r="G340" i="2"/>
  <c r="E339" i="2"/>
  <c r="F339" i="2"/>
  <c r="G341" i="2" l="1"/>
  <c r="C341" i="2"/>
  <c r="D341" i="2" s="1"/>
  <c r="E340" i="2"/>
  <c r="F340" i="2"/>
  <c r="E341" i="2" l="1"/>
  <c r="F341" i="2"/>
  <c r="G342" i="2"/>
  <c r="C342" i="2"/>
  <c r="D342" i="2" s="1"/>
  <c r="E342" i="2" l="1"/>
  <c r="F342" i="2"/>
  <c r="C343" i="2"/>
  <c r="D343" i="2" s="1"/>
  <c r="G343" i="2"/>
  <c r="G344" i="2" l="1"/>
  <c r="C344" i="2"/>
  <c r="D344" i="2" s="1"/>
  <c r="F343" i="2"/>
  <c r="E343" i="2"/>
  <c r="E344" i="2" l="1"/>
  <c r="F344" i="2"/>
  <c r="G345" i="2"/>
  <c r="C345" i="2"/>
  <c r="D345" i="2" s="1"/>
  <c r="F345" i="2" l="1"/>
  <c r="E345" i="2"/>
  <c r="C346" i="2"/>
  <c r="D346" i="2" s="1"/>
  <c r="G346" i="2"/>
  <c r="G347" i="2" l="1"/>
  <c r="C347" i="2"/>
  <c r="D347" i="2" s="1"/>
  <c r="F346" i="2"/>
  <c r="E346" i="2"/>
  <c r="E347" i="2" l="1"/>
  <c r="F347" i="2"/>
  <c r="G348" i="2"/>
  <c r="C348" i="2"/>
  <c r="D348" i="2" s="1"/>
  <c r="C349" i="2" l="1"/>
  <c r="D349" i="2" s="1"/>
  <c r="G349" i="2"/>
  <c r="E348" i="2"/>
  <c r="F348" i="2"/>
  <c r="G350" i="2" l="1"/>
  <c r="C350" i="2"/>
  <c r="D350" i="2" s="1"/>
  <c r="F349" i="2"/>
  <c r="E349" i="2"/>
  <c r="F350" i="2" l="1"/>
  <c r="E350" i="2"/>
  <c r="G351" i="2"/>
  <c r="C351" i="2"/>
  <c r="D351" i="2" s="1"/>
  <c r="G352" i="2" l="1"/>
  <c r="C352" i="2"/>
  <c r="D352" i="2" s="1"/>
  <c r="F351" i="2"/>
  <c r="E351" i="2"/>
  <c r="E352" i="2" l="1"/>
  <c r="F352" i="2"/>
  <c r="G353" i="2"/>
  <c r="C353" i="2"/>
  <c r="D353" i="2" s="1"/>
  <c r="F353" i="2" l="1"/>
  <c r="E353" i="2"/>
  <c r="G354" i="2"/>
  <c r="C354" i="2"/>
  <c r="D354" i="2" s="1"/>
  <c r="F354" i="2" l="1"/>
  <c r="E354" i="2"/>
  <c r="G355" i="2"/>
  <c r="C355" i="2"/>
  <c r="D355" i="2" s="1"/>
  <c r="G356" i="2" l="1"/>
  <c r="C356" i="2"/>
  <c r="D356" i="2" s="1"/>
  <c r="E355" i="2"/>
  <c r="F355" i="2"/>
  <c r="E356" i="2" l="1"/>
  <c r="F356" i="2"/>
  <c r="G357" i="2"/>
  <c r="C357" i="2"/>
  <c r="D357" i="2" s="1"/>
  <c r="F357" i="2" l="1"/>
  <c r="E357" i="2"/>
  <c r="C358" i="2"/>
  <c r="D358" i="2" s="1"/>
  <c r="G358" i="2"/>
  <c r="C359" i="2" l="1"/>
  <c r="D359" i="2" s="1"/>
  <c r="G359" i="2"/>
  <c r="F358" i="2"/>
  <c r="E358" i="2"/>
  <c r="G360" i="2" l="1"/>
  <c r="C360" i="2"/>
  <c r="D360" i="2" s="1"/>
  <c r="E359" i="2"/>
  <c r="F359" i="2"/>
  <c r="F360" i="2" l="1"/>
  <c r="E360" i="2"/>
  <c r="C361" i="2"/>
  <c r="D361" i="2" s="1"/>
  <c r="G361" i="2"/>
  <c r="G362" i="2" l="1"/>
  <c r="C362" i="2"/>
  <c r="D362" i="2" s="1"/>
  <c r="F361" i="2"/>
  <c r="E361" i="2"/>
  <c r="F362" i="2" l="1"/>
  <c r="E362" i="2"/>
  <c r="C363" i="2"/>
  <c r="D363" i="2" s="1"/>
  <c r="G363" i="2"/>
  <c r="E363" i="2" l="1"/>
  <c r="F363" i="2"/>
  <c r="G364" i="2"/>
  <c r="C364" i="2"/>
  <c r="D364" i="2" s="1"/>
  <c r="E364" i="2" l="1"/>
  <c r="F364" i="2"/>
  <c r="G365" i="2"/>
  <c r="C365" i="2"/>
  <c r="D365" i="2" s="1"/>
  <c r="E365" i="2" l="1"/>
  <c r="F365" i="2"/>
  <c r="C366" i="2"/>
  <c r="D366" i="2" s="1"/>
  <c r="G366" i="2"/>
  <c r="C367" i="2" l="1"/>
  <c r="D367" i="2" s="1"/>
  <c r="G367" i="2"/>
  <c r="F366" i="2"/>
  <c r="E366" i="2"/>
  <c r="C368" i="2" l="1"/>
  <c r="D368" i="2" s="1"/>
  <c r="G368" i="2"/>
  <c r="F367" i="2"/>
  <c r="E367" i="2"/>
  <c r="G369" i="2" l="1"/>
  <c r="C369" i="2"/>
  <c r="D369" i="2" s="1"/>
  <c r="F368" i="2"/>
  <c r="E368" i="2"/>
  <c r="F369" i="2" l="1"/>
  <c r="E369" i="2"/>
  <c r="G370" i="2"/>
  <c r="C370" i="2"/>
  <c r="D370" i="2" s="1"/>
  <c r="G371" i="2" l="1"/>
  <c r="C371" i="2"/>
  <c r="D371" i="2" s="1"/>
  <c r="E370" i="2"/>
  <c r="F370" i="2"/>
  <c r="F371" i="2" l="1"/>
  <c r="E371" i="2"/>
  <c r="G372" i="2"/>
  <c r="C372" i="2"/>
  <c r="D372" i="2" s="1"/>
  <c r="C373" i="2" l="1"/>
  <c r="D373" i="2" s="1"/>
  <c r="G373" i="2"/>
  <c r="E372" i="2"/>
  <c r="F372" i="2"/>
  <c r="G374" i="2" l="1"/>
  <c r="C374" i="2"/>
  <c r="D374" i="2" s="1"/>
  <c r="F373" i="2"/>
  <c r="E373" i="2"/>
  <c r="E374" i="2" l="1"/>
  <c r="F374" i="2"/>
  <c r="C375" i="2"/>
  <c r="D375" i="2" s="1"/>
  <c r="G375" i="2"/>
  <c r="C376" i="2" l="1"/>
  <c r="D376" i="2" s="1"/>
  <c r="G376" i="2"/>
  <c r="E375" i="2"/>
  <c r="F375" i="2"/>
  <c r="G377" i="2" l="1"/>
  <c r="C377" i="2"/>
  <c r="D377" i="2" s="1"/>
  <c r="F376" i="2"/>
  <c r="E376" i="2"/>
  <c r="E377" i="2" l="1"/>
  <c r="F377" i="2"/>
  <c r="G378" i="2"/>
  <c r="C378" i="2"/>
  <c r="D378" i="2" s="1"/>
  <c r="G379" i="2" l="1"/>
  <c r="C379" i="2"/>
  <c r="D379" i="2" s="1"/>
  <c r="F378" i="2"/>
  <c r="E378" i="2"/>
  <c r="E379" i="2" l="1"/>
  <c r="F379" i="2"/>
  <c r="G380" i="2"/>
  <c r="C380" i="2"/>
  <c r="D380" i="2" s="1"/>
  <c r="G381" i="2" l="1"/>
  <c r="C381" i="2"/>
  <c r="D381" i="2" s="1"/>
  <c r="F380" i="2"/>
  <c r="E380" i="2"/>
  <c r="E381" i="2" l="1"/>
  <c r="F381" i="2"/>
  <c r="G382" i="2"/>
  <c r="C382" i="2"/>
  <c r="D382" i="2" s="1"/>
  <c r="C383" i="2" l="1"/>
  <c r="D383" i="2" s="1"/>
  <c r="G383" i="2"/>
  <c r="F382" i="2"/>
  <c r="E382" i="2"/>
  <c r="C384" i="2" l="1"/>
  <c r="D384" i="2" s="1"/>
  <c r="G384" i="2"/>
  <c r="E383" i="2"/>
  <c r="F383" i="2"/>
  <c r="G385" i="2" l="1"/>
  <c r="C385" i="2"/>
  <c r="D385" i="2" s="1"/>
  <c r="E384" i="2"/>
  <c r="F384" i="2"/>
  <c r="F385" i="2" l="1"/>
  <c r="C19" i="2" s="1"/>
  <c r="E385" i="2"/>
  <c r="G386" i="2"/>
  <c r="C386" i="2"/>
  <c r="D386" i="2" s="1"/>
  <c r="C387" i="2" l="1"/>
  <c r="D387" i="2" s="1"/>
  <c r="G387" i="2"/>
  <c r="F386" i="2"/>
  <c r="E386" i="2"/>
  <c r="G388" i="2" l="1"/>
  <c r="C388" i="2"/>
  <c r="D388" i="2" s="1"/>
  <c r="F387" i="2"/>
  <c r="E387" i="2"/>
  <c r="F388" i="2" l="1"/>
  <c r="E388" i="2"/>
  <c r="C389" i="2"/>
  <c r="D389" i="2" s="1"/>
  <c r="G389" i="2"/>
  <c r="F389" i="2" l="1"/>
  <c r="E389" i="2"/>
  <c r="G390" i="2"/>
  <c r="C390" i="2"/>
  <c r="D390" i="2" s="1"/>
  <c r="G391" i="2" l="1"/>
  <c r="C391" i="2"/>
  <c r="D391" i="2" s="1"/>
  <c r="F390" i="2"/>
  <c r="E390" i="2"/>
  <c r="E391" i="2" l="1"/>
  <c r="F391" i="2"/>
  <c r="G392" i="2"/>
  <c r="C392" i="2"/>
  <c r="D392" i="2" s="1"/>
  <c r="G393" i="2" l="1"/>
  <c r="C393" i="2"/>
  <c r="D393" i="2" s="1"/>
  <c r="F392" i="2"/>
  <c r="E392" i="2"/>
  <c r="E393" i="2" l="1"/>
  <c r="F393" i="2"/>
  <c r="C394" i="2"/>
  <c r="D394" i="2" s="1"/>
  <c r="G394" i="2"/>
  <c r="C395" i="2" l="1"/>
  <c r="D395" i="2" s="1"/>
  <c r="G395" i="2"/>
  <c r="F394" i="2"/>
  <c r="E394" i="2"/>
  <c r="C396" i="2" l="1"/>
  <c r="D396" i="2" s="1"/>
  <c r="G396" i="2"/>
  <c r="F395" i="2"/>
  <c r="E395" i="2"/>
  <c r="C397" i="2" l="1"/>
  <c r="D397" i="2" s="1"/>
  <c r="G397" i="2"/>
  <c r="F396" i="2"/>
  <c r="E396" i="2"/>
  <c r="C398" i="2" l="1"/>
  <c r="D398" i="2" s="1"/>
  <c r="G398" i="2"/>
  <c r="E397" i="2"/>
  <c r="F397" i="2"/>
  <c r="G399" i="2" l="1"/>
  <c r="C399" i="2"/>
  <c r="D399" i="2" s="1"/>
  <c r="F398" i="2"/>
  <c r="E398" i="2"/>
  <c r="E399" i="2" l="1"/>
  <c r="F399" i="2"/>
  <c r="C400" i="2"/>
  <c r="D400" i="2" s="1"/>
  <c r="G400" i="2"/>
  <c r="F400" i="2" l="1"/>
  <c r="E400" i="2"/>
  <c r="G401" i="2"/>
  <c r="C401" i="2"/>
  <c r="D401" i="2" s="1"/>
  <c r="G402" i="2" l="1"/>
  <c r="C402" i="2"/>
  <c r="D402" i="2" s="1"/>
  <c r="E401" i="2"/>
  <c r="F401" i="2"/>
  <c r="E402" i="2" l="1"/>
  <c r="F402" i="2"/>
  <c r="G403" i="2"/>
  <c r="C403" i="2"/>
  <c r="D403" i="2" s="1"/>
  <c r="G404" i="2" l="1"/>
  <c r="C404" i="2"/>
  <c r="D404" i="2" s="1"/>
  <c r="E403" i="2"/>
  <c r="F403" i="2"/>
  <c r="E404" i="2" l="1"/>
  <c r="F404" i="2"/>
  <c r="G405" i="2"/>
  <c r="C405" i="2"/>
  <c r="D405" i="2" s="1"/>
  <c r="F405" i="2" l="1"/>
  <c r="E405" i="2"/>
  <c r="C16" i="2" s="1"/>
  <c r="C406" i="2"/>
  <c r="D406" i="2" s="1"/>
  <c r="G406" i="2"/>
  <c r="G407" i="2" l="1"/>
  <c r="C407" i="2"/>
  <c r="D407" i="2" s="1"/>
  <c r="D42" i="1"/>
  <c r="D43" i="1" s="1"/>
  <c r="C21" i="2"/>
  <c r="F406" i="2"/>
  <c r="E406" i="2"/>
  <c r="F407" i="2" l="1"/>
  <c r="E407" i="2"/>
  <c r="G408" i="2"/>
  <c r="C408" i="2"/>
  <c r="D408" i="2" s="1"/>
  <c r="C409" i="2" l="1"/>
  <c r="D409" i="2" s="1"/>
  <c r="G409" i="2"/>
  <c r="E408" i="2"/>
  <c r="F408" i="2"/>
  <c r="C410" i="2" l="1"/>
  <c r="D410" i="2" s="1"/>
  <c r="G410" i="2"/>
  <c r="F409" i="2"/>
  <c r="E409" i="2"/>
  <c r="G411" i="2" l="1"/>
  <c r="C411" i="2"/>
  <c r="D411" i="2" s="1"/>
  <c r="E410" i="2"/>
  <c r="F410" i="2"/>
  <c r="F411" i="2" l="1"/>
  <c r="E411" i="2"/>
  <c r="C412" i="2"/>
  <c r="D412" i="2" s="1"/>
  <c r="G412" i="2"/>
  <c r="E412" i="2" l="1"/>
  <c r="F412" i="2"/>
  <c r="C413" i="2"/>
  <c r="D413" i="2" s="1"/>
  <c r="G413" i="2"/>
  <c r="E413" i="2" l="1"/>
  <c r="F413" i="2"/>
  <c r="C414" i="2"/>
  <c r="D414" i="2" s="1"/>
  <c r="G414" i="2"/>
  <c r="F414" i="2" l="1"/>
  <c r="E414" i="2"/>
  <c r="C415" i="2"/>
  <c r="D415" i="2" s="1"/>
  <c r="G415" i="2"/>
  <c r="F415" i="2" l="1"/>
  <c r="E415" i="2"/>
  <c r="G416" i="2"/>
  <c r="C416" i="2"/>
  <c r="D416" i="2" s="1"/>
  <c r="F416" i="2" l="1"/>
  <c r="E416" i="2"/>
  <c r="G417" i="2"/>
  <c r="C417" i="2"/>
  <c r="D417" i="2" s="1"/>
  <c r="G418" i="2" l="1"/>
  <c r="C418" i="2"/>
  <c r="D418" i="2" s="1"/>
  <c r="F417" i="2"/>
  <c r="E417" i="2"/>
  <c r="F418" i="2" l="1"/>
  <c r="E418" i="2"/>
  <c r="C419" i="2"/>
  <c r="D419" i="2" s="1"/>
  <c r="G419" i="2"/>
  <c r="E419" i="2" l="1"/>
  <c r="F419" i="2"/>
  <c r="G420" i="2"/>
  <c r="C420" i="2"/>
  <c r="D420" i="2" s="1"/>
  <c r="C421" i="2" l="1"/>
  <c r="D421" i="2" s="1"/>
  <c r="G421" i="2"/>
  <c r="F420" i="2"/>
  <c r="E420" i="2"/>
  <c r="G422" i="2" l="1"/>
  <c r="C422" i="2"/>
  <c r="D422" i="2" s="1"/>
  <c r="E421" i="2"/>
  <c r="F421" i="2"/>
  <c r="E422" i="2" l="1"/>
  <c r="F422" i="2"/>
  <c r="C423" i="2"/>
  <c r="D423" i="2" s="1"/>
  <c r="G423" i="2"/>
  <c r="E423" i="2" l="1"/>
  <c r="F423" i="2"/>
  <c r="G424" i="2"/>
  <c r="C424" i="2"/>
  <c r="D424" i="2" s="1"/>
  <c r="C425" i="2" l="1"/>
  <c r="D425" i="2" s="1"/>
  <c r="G425" i="2"/>
  <c r="F424" i="2"/>
  <c r="E424" i="2"/>
  <c r="G426" i="2" l="1"/>
  <c r="C426" i="2"/>
  <c r="D426" i="2" s="1"/>
  <c r="F425" i="2"/>
  <c r="E425" i="2"/>
  <c r="E426" i="2" l="1"/>
  <c r="F426" i="2"/>
  <c r="C427" i="2"/>
  <c r="D427" i="2" s="1"/>
  <c r="G427" i="2"/>
  <c r="C428" i="2" s="1"/>
  <c r="E428" i="2" s="1"/>
  <c r="F428" i="2" s="1"/>
  <c r="G428" i="2" s="1"/>
  <c r="F427" i="2" l="1"/>
  <c r="E427" i="2"/>
</calcChain>
</file>

<file path=xl/comments1.xml><?xml version="1.0" encoding="utf-8"?>
<comments xmlns="http://schemas.openxmlformats.org/spreadsheetml/2006/main">
  <authors>
    <author>Timothy Leach</author>
  </authors>
  <commentList>
    <comment ref="F8" authorId="0">
      <text>
        <r>
          <rPr>
            <b/>
            <sz val="9"/>
            <color indexed="81"/>
            <rFont val="Tahoma"/>
            <family val="2"/>
          </rPr>
          <t>Timothy Leach:</t>
        </r>
        <r>
          <rPr>
            <sz val="9"/>
            <color indexed="81"/>
            <rFont val="Tahoma"/>
            <family val="2"/>
          </rPr>
          <t xml:space="preserve">
15% of Cost for improvement.  These services may not be needed for some projects.</t>
        </r>
      </text>
    </comment>
    <comment ref="H8" authorId="0">
      <text>
        <r>
          <rPr>
            <b/>
            <sz val="9"/>
            <color indexed="81"/>
            <rFont val="Tahoma"/>
            <family val="2"/>
          </rPr>
          <t>Timothy Leach:</t>
        </r>
        <r>
          <rPr>
            <sz val="9"/>
            <color indexed="81"/>
            <rFont val="Tahoma"/>
            <family val="2"/>
          </rPr>
          <t xml:space="preserve">
Contact AHFC for this week's AEERLP rates.</t>
        </r>
      </text>
    </comment>
    <comment ref="F9" authorId="0">
      <text>
        <r>
          <rPr>
            <b/>
            <sz val="9"/>
            <color indexed="81"/>
            <rFont val="Tahoma"/>
            <family val="2"/>
          </rPr>
          <t>Timothy Leach:</t>
        </r>
        <r>
          <rPr>
            <sz val="9"/>
            <color indexed="81"/>
            <rFont val="Tahoma"/>
            <family val="2"/>
          </rPr>
          <t xml:space="preserve">
3% of Cost for improvement. This service may not be needed for some projects.</t>
        </r>
      </text>
    </comment>
    <comment ref="F10" authorId="0">
      <text>
        <r>
          <rPr>
            <b/>
            <sz val="9"/>
            <color indexed="81"/>
            <rFont val="Tahoma"/>
            <family val="2"/>
          </rPr>
          <t>Timothy Leach:</t>
        </r>
        <r>
          <rPr>
            <sz val="9"/>
            <color indexed="81"/>
            <rFont val="Tahoma"/>
            <family val="2"/>
          </rPr>
          <t xml:space="preserve">
10% of Cost for improvement.  This service may not be needed for some projects.</t>
        </r>
      </text>
    </comment>
    <comment ref="D40" authorId="0">
      <text>
        <r>
          <rPr>
            <b/>
            <sz val="9"/>
            <color indexed="81"/>
            <rFont val="Tahoma"/>
            <family val="2"/>
          </rPr>
          <t>Timothy Leach:</t>
        </r>
        <r>
          <rPr>
            <sz val="9"/>
            <color indexed="81"/>
            <rFont val="Tahoma"/>
            <family val="2"/>
          </rPr>
          <t xml:space="preserve">
Owner may or may not finance closing costs. Loan amount currently includes closing costs in total project cost financed.</t>
        </r>
      </text>
    </comment>
    <comment ref="D41" authorId="0">
      <text>
        <r>
          <rPr>
            <b/>
            <sz val="9"/>
            <color indexed="81"/>
            <rFont val="Tahoma"/>
            <family val="2"/>
          </rPr>
          <t>Timothy Leach:</t>
        </r>
        <r>
          <rPr>
            <sz val="9"/>
            <color indexed="81"/>
            <rFont val="Tahoma"/>
            <family val="2"/>
          </rPr>
          <t xml:space="preserve">
Owner may or may not finance closing costs. Loan amount currently includes closing costs in total project cost financed.</t>
        </r>
      </text>
    </comment>
    <comment ref="C44" authorId="0">
      <text>
        <r>
          <rPr>
            <b/>
            <sz val="9"/>
            <color indexed="81"/>
            <rFont val="Tahoma"/>
            <family val="2"/>
          </rPr>
          <t>Timothy Leach:</t>
        </r>
        <r>
          <rPr>
            <sz val="9"/>
            <color indexed="81"/>
            <rFont val="Tahoma"/>
            <family val="2"/>
          </rPr>
          <t xml:space="preserve">
Loan fee:
the first $1M at 0.005%
the next $4M at 0.00375%
the next $10M at 0.0025%
the next $15M at 0.00125%
For more information regarding AHFC's loan: http://www.ahfc.us/efficiency/energy-programs/energy-efficiency-revolving-loan-fund-aeerlp
</t>
        </r>
      </text>
    </comment>
  </commentList>
</comments>
</file>

<file path=xl/comments2.xml><?xml version="1.0" encoding="utf-8"?>
<comments xmlns="http://schemas.openxmlformats.org/spreadsheetml/2006/main">
  <authors>
    <author>Timothy Leach</author>
  </authors>
  <commentList>
    <comment ref="C3" authorId="0">
      <text>
        <r>
          <rPr>
            <b/>
            <sz val="9"/>
            <color indexed="81"/>
            <rFont val="Tahoma"/>
            <family val="2"/>
          </rPr>
          <t>Timothy Leach:</t>
        </r>
        <r>
          <rPr>
            <sz val="9"/>
            <color indexed="81"/>
            <rFont val="Tahoma"/>
            <family val="2"/>
          </rPr>
          <t xml:space="preserve">
Owner takes immediate action by hiring/paying grant writers to seek a grant or appropriation for energy project.</t>
        </r>
      </text>
    </comment>
    <comment ref="G3" authorId="0">
      <text>
        <r>
          <rPr>
            <b/>
            <sz val="9"/>
            <color indexed="81"/>
            <rFont val="Tahoma"/>
            <family val="2"/>
          </rPr>
          <t>Timothy Leach:</t>
        </r>
        <r>
          <rPr>
            <sz val="9"/>
            <color indexed="81"/>
            <rFont val="Tahoma"/>
            <family val="2"/>
          </rPr>
          <t xml:space="preserve">
Year 0 Payments will be interest only, to be calculated by project, and added to the table below, which feeds this Cashflow.
</t>
        </r>
      </text>
    </comment>
    <comment ref="F29" authorId="0">
      <text>
        <r>
          <rPr>
            <b/>
            <sz val="9"/>
            <color indexed="81"/>
            <rFont val="Tahoma"/>
            <family val="2"/>
          </rPr>
          <t>Timothy Leach:</t>
        </r>
        <r>
          <rPr>
            <sz val="9"/>
            <color indexed="81"/>
            <rFont val="Tahoma"/>
            <family val="2"/>
          </rPr>
          <t xml:space="preserve">
Energy Cost Savings may be incurred during the design/construction year, dependant on implementation schedule.</t>
        </r>
      </text>
    </comment>
    <comment ref="H29" authorId="0">
      <text>
        <r>
          <rPr>
            <b/>
            <sz val="9"/>
            <color indexed="81"/>
            <rFont val="Tahoma"/>
            <family val="2"/>
          </rPr>
          <t>Timothy Leach:</t>
        </r>
        <r>
          <rPr>
            <sz val="9"/>
            <color indexed="81"/>
            <rFont val="Tahoma"/>
            <family val="2"/>
          </rPr>
          <t xml:space="preserve">
Cash flow for Design/Construction year determined by project. Energy Cost Savings may be incurred during the design/construction year, dependant on implemenation schedule.</t>
        </r>
      </text>
    </comment>
    <comment ref="B47" authorId="0">
      <text>
        <r>
          <rPr>
            <b/>
            <sz val="9"/>
            <color indexed="81"/>
            <rFont val="Tahoma"/>
            <family val="2"/>
          </rPr>
          <t>Timothy Leach:</t>
        </r>
        <r>
          <rPr>
            <sz val="9"/>
            <color indexed="81"/>
            <rFont val="Tahoma"/>
            <family val="2"/>
          </rPr>
          <t xml:space="preserve">
yrs. 1 - 15</t>
        </r>
      </text>
    </comment>
    <comment ref="D47" authorId="0">
      <text>
        <r>
          <rPr>
            <b/>
            <sz val="9"/>
            <color indexed="81"/>
            <rFont val="Tahoma"/>
            <family val="2"/>
          </rPr>
          <t>Timothy Leach:</t>
        </r>
        <r>
          <rPr>
            <sz val="9"/>
            <color indexed="81"/>
            <rFont val="Tahoma"/>
            <family val="2"/>
          </rPr>
          <t xml:space="preserve">
yrs. 6 - 15
</t>
        </r>
      </text>
    </comment>
    <comment ref="H47" authorId="0">
      <text>
        <r>
          <rPr>
            <b/>
            <sz val="9"/>
            <color indexed="81"/>
            <rFont val="Tahoma"/>
            <family val="2"/>
          </rPr>
          <t>Timothy Leach:</t>
        </r>
        <r>
          <rPr>
            <sz val="9"/>
            <color indexed="81"/>
            <rFont val="Tahoma"/>
            <family val="2"/>
          </rPr>
          <t xml:space="preserve">
yrs 0- 15
</t>
        </r>
      </text>
    </comment>
    <comment ref="J47" authorId="0">
      <text>
        <r>
          <rPr>
            <b/>
            <sz val="9"/>
            <color indexed="81"/>
            <rFont val="Tahoma"/>
            <family val="2"/>
          </rPr>
          <t>Timothy Leach:</t>
        </r>
        <r>
          <rPr>
            <sz val="9"/>
            <color indexed="81"/>
            <rFont val="Tahoma"/>
            <family val="2"/>
          </rPr>
          <t xml:space="preserve">
yrs 0- 15</t>
        </r>
      </text>
    </comment>
    <comment ref="K47" authorId="0">
      <text>
        <r>
          <rPr>
            <b/>
            <sz val="9"/>
            <color indexed="81"/>
            <rFont val="Tahoma"/>
            <family val="2"/>
          </rPr>
          <t>Timothy Leach:</t>
        </r>
        <r>
          <rPr>
            <sz val="9"/>
            <color indexed="81"/>
            <rFont val="Tahoma"/>
            <family val="2"/>
          </rPr>
          <t xml:space="preserve">
yrs 0- 15</t>
        </r>
      </text>
    </comment>
    <comment ref="F53" authorId="0">
      <text>
        <r>
          <rPr>
            <b/>
            <sz val="9"/>
            <color indexed="81"/>
            <rFont val="Tahoma"/>
            <family val="2"/>
          </rPr>
          <t>Timothy Leach:</t>
        </r>
        <r>
          <rPr>
            <sz val="9"/>
            <color indexed="81"/>
            <rFont val="Tahoma"/>
            <family val="2"/>
          </rPr>
          <t xml:space="preserve">
Energy Cost Savings may be incurred during the design/construction year, dependant on implementation schedule.</t>
        </r>
      </text>
    </comment>
    <comment ref="G53" authorId="0">
      <text>
        <r>
          <rPr>
            <b/>
            <sz val="9"/>
            <color indexed="81"/>
            <rFont val="Tahoma"/>
            <family val="2"/>
          </rPr>
          <t>Timothy Leach:</t>
        </r>
        <r>
          <rPr>
            <sz val="9"/>
            <color indexed="81"/>
            <rFont val="Tahoma"/>
            <family val="2"/>
          </rPr>
          <t xml:space="preserve">
* Year 0 Payments will be interest only, to be calculated by project </t>
        </r>
      </text>
    </comment>
    <comment ref="H53" authorId="0">
      <text>
        <r>
          <rPr>
            <b/>
            <sz val="9"/>
            <color indexed="81"/>
            <rFont val="Tahoma"/>
            <family val="2"/>
          </rPr>
          <t>Timothy Leach:</t>
        </r>
        <r>
          <rPr>
            <sz val="9"/>
            <color indexed="81"/>
            <rFont val="Tahoma"/>
            <family val="2"/>
          </rPr>
          <t xml:space="preserve">
Year 0 cash flow will be calculated by project as interest only payments and energy cost savings are dependant on implementation schedule. </t>
        </r>
      </text>
    </comment>
    <comment ref="B76" authorId="0">
      <text>
        <r>
          <rPr>
            <b/>
            <sz val="9"/>
            <color indexed="81"/>
            <rFont val="Tahoma"/>
            <family val="2"/>
          </rPr>
          <t>Timothy Leach:</t>
        </r>
        <r>
          <rPr>
            <sz val="9"/>
            <color indexed="81"/>
            <rFont val="Tahoma"/>
            <family val="2"/>
          </rPr>
          <t xml:space="preserve">
yrs.1-15</t>
        </r>
      </text>
    </comment>
    <comment ref="D76" authorId="0">
      <text>
        <r>
          <rPr>
            <b/>
            <sz val="9"/>
            <color indexed="81"/>
            <rFont val="Tahoma"/>
            <family val="2"/>
          </rPr>
          <t>Timothy Leach:</t>
        </r>
        <r>
          <rPr>
            <sz val="9"/>
            <color indexed="81"/>
            <rFont val="Tahoma"/>
            <family val="2"/>
          </rPr>
          <t xml:space="preserve">
yrs.1-15</t>
        </r>
      </text>
    </comment>
    <comment ref="J76" authorId="0">
      <text>
        <r>
          <rPr>
            <b/>
            <sz val="9"/>
            <color indexed="81"/>
            <rFont val="Tahoma"/>
            <family val="2"/>
          </rPr>
          <t>Timothy Leach:</t>
        </r>
        <r>
          <rPr>
            <sz val="9"/>
            <color indexed="81"/>
            <rFont val="Tahoma"/>
            <family val="2"/>
          </rPr>
          <t xml:space="preserve">
yrs 0- 15</t>
        </r>
      </text>
    </comment>
    <comment ref="K76" authorId="0">
      <text>
        <r>
          <rPr>
            <b/>
            <sz val="9"/>
            <color indexed="81"/>
            <rFont val="Tahoma"/>
            <family val="2"/>
          </rPr>
          <t>Timothy Leach:</t>
        </r>
        <r>
          <rPr>
            <sz val="9"/>
            <color indexed="81"/>
            <rFont val="Tahoma"/>
            <family val="2"/>
          </rPr>
          <t xml:space="preserve">
yrs 0- 15
</t>
        </r>
      </text>
    </comment>
    <comment ref="F87" authorId="0">
      <text>
        <r>
          <rPr>
            <b/>
            <sz val="9"/>
            <color indexed="81"/>
            <rFont val="Tahoma"/>
            <family val="2"/>
          </rPr>
          <t>Timothy Leach:</t>
        </r>
        <r>
          <rPr>
            <sz val="9"/>
            <color indexed="81"/>
            <rFont val="Tahoma"/>
            <family val="2"/>
          </rPr>
          <t xml:space="preserve">
Energy Cost Savings may be incurred during the design/construction year, dependant on implementation schedule.</t>
        </r>
      </text>
    </comment>
    <comment ref="G87" authorId="0">
      <text>
        <r>
          <rPr>
            <b/>
            <sz val="9"/>
            <color indexed="81"/>
            <rFont val="Tahoma"/>
            <family val="2"/>
          </rPr>
          <t>Timothy Leach:</t>
        </r>
        <r>
          <rPr>
            <sz val="9"/>
            <color indexed="81"/>
            <rFont val="Tahoma"/>
            <family val="2"/>
          </rPr>
          <t xml:space="preserve">
* Year 5, the first year of loan payments, will be interest only, to be calculated by project. </t>
        </r>
      </text>
    </comment>
    <comment ref="H87" authorId="0">
      <text>
        <r>
          <rPr>
            <b/>
            <sz val="9"/>
            <color indexed="81"/>
            <rFont val="Tahoma"/>
            <family val="2"/>
          </rPr>
          <t>Timothy Leach:</t>
        </r>
        <r>
          <rPr>
            <sz val="9"/>
            <color indexed="81"/>
            <rFont val="Tahoma"/>
            <family val="2"/>
          </rPr>
          <t xml:space="preserve">
Year 5 cash flow will be calculated by project as interest only payments and energy cost savings are dependant on implementation schedule. </t>
        </r>
      </text>
    </comment>
    <comment ref="B105" authorId="0">
      <text>
        <r>
          <rPr>
            <b/>
            <sz val="9"/>
            <color indexed="81"/>
            <rFont val="Tahoma"/>
            <family val="2"/>
          </rPr>
          <t>Timothy Leach:</t>
        </r>
        <r>
          <rPr>
            <sz val="9"/>
            <color indexed="81"/>
            <rFont val="Tahoma"/>
            <family val="2"/>
          </rPr>
          <t xml:space="preserve">
yrs.1-15</t>
        </r>
      </text>
    </comment>
    <comment ref="D105" authorId="0">
      <text>
        <r>
          <rPr>
            <b/>
            <sz val="9"/>
            <color indexed="81"/>
            <rFont val="Tahoma"/>
            <family val="2"/>
          </rPr>
          <t>Timothy Leach:</t>
        </r>
        <r>
          <rPr>
            <sz val="9"/>
            <color indexed="81"/>
            <rFont val="Tahoma"/>
            <family val="2"/>
          </rPr>
          <t xml:space="preserve">
yrs.1-15</t>
        </r>
      </text>
    </comment>
    <comment ref="J105" authorId="0">
      <text>
        <r>
          <rPr>
            <b/>
            <sz val="9"/>
            <color indexed="81"/>
            <rFont val="Tahoma"/>
            <family val="2"/>
          </rPr>
          <t>Timothy Leach:</t>
        </r>
        <r>
          <rPr>
            <sz val="9"/>
            <color indexed="81"/>
            <rFont val="Tahoma"/>
            <family val="2"/>
          </rPr>
          <t xml:space="preserve">
yrs 0- 15</t>
        </r>
      </text>
    </comment>
    <comment ref="K105" authorId="0">
      <text>
        <r>
          <rPr>
            <b/>
            <sz val="9"/>
            <color indexed="81"/>
            <rFont val="Tahoma"/>
            <family val="2"/>
          </rPr>
          <t>Timothy Leach:</t>
        </r>
        <r>
          <rPr>
            <sz val="9"/>
            <color indexed="81"/>
            <rFont val="Tahoma"/>
            <family val="2"/>
          </rPr>
          <t xml:space="preserve">
yrs 0- 15
</t>
        </r>
      </text>
    </comment>
  </commentList>
</comments>
</file>

<file path=xl/sharedStrings.xml><?xml version="1.0" encoding="utf-8"?>
<sst xmlns="http://schemas.openxmlformats.org/spreadsheetml/2006/main" count="247" uniqueCount="202">
  <si>
    <t>NUMBERS MAY VARY SLIGHTLY DUE TO ROUNDING</t>
  </si>
  <si>
    <t>Down Payment</t>
  </si>
  <si>
    <t>PRINCIPLE</t>
  </si>
  <si>
    <t>INTEREST</t>
  </si>
  <si>
    <t>TERM (YEARS)</t>
  </si>
  <si>
    <t>PMTS/YR.</t>
  </si>
  <si>
    <t>P &amp; I</t>
  </si>
  <si>
    <t>PITI</t>
  </si>
  <si>
    <t xml:space="preserve">TOTAL PAID </t>
  </si>
  <si>
    <t>Rental Income</t>
  </si>
  <si>
    <t>Monthly Payment</t>
  </si>
  <si>
    <t>TOTAL PAID</t>
  </si>
  <si>
    <t>Loan Amount</t>
  </si>
  <si>
    <t>Pre-Retrofit</t>
  </si>
  <si>
    <t>Annual Savings</t>
  </si>
  <si>
    <t>Monthly  Payment</t>
  </si>
  <si>
    <t>Annual Payments</t>
  </si>
  <si>
    <t>Post-Retrofit</t>
  </si>
  <si>
    <t>Pre Retrofit Energy Spend</t>
  </si>
  <si>
    <t>NO INPUT Enter on previous page</t>
  </si>
  <si>
    <t>Year</t>
  </si>
  <si>
    <t>Year 1</t>
  </si>
  <si>
    <t>Year 2</t>
  </si>
  <si>
    <t>Year 3</t>
  </si>
  <si>
    <t>Year 4</t>
  </si>
  <si>
    <t>Year 5</t>
  </si>
  <si>
    <t>Year 6</t>
  </si>
  <si>
    <t>Year 7</t>
  </si>
  <si>
    <t>Year 8</t>
  </si>
  <si>
    <t>Year 9</t>
  </si>
  <si>
    <t>Year 10</t>
  </si>
  <si>
    <t>Year 11</t>
  </si>
  <si>
    <t>Year 12</t>
  </si>
  <si>
    <t>Year 13</t>
  </si>
  <si>
    <t>Year 14</t>
  </si>
  <si>
    <t>Year 15</t>
  </si>
  <si>
    <t>Year 16</t>
  </si>
  <si>
    <t>Annual Payment</t>
  </si>
  <si>
    <t>Project Management</t>
  </si>
  <si>
    <t>Contingency</t>
  </si>
  <si>
    <t>Total Loan Payment</t>
  </si>
  <si>
    <t>Percent Savings</t>
  </si>
  <si>
    <t>No Action</t>
  </si>
  <si>
    <t>Year 17</t>
  </si>
  <si>
    <t>Year 18</t>
  </si>
  <si>
    <t>Year 19</t>
  </si>
  <si>
    <t>Year 20</t>
  </si>
  <si>
    <t>Year 21</t>
  </si>
  <si>
    <t>Year 22</t>
  </si>
  <si>
    <t>Year 23</t>
  </si>
  <si>
    <t>Year 24</t>
  </si>
  <si>
    <t>Year 25</t>
  </si>
  <si>
    <t>Development Costs</t>
  </si>
  <si>
    <t xml:space="preserve">End of Year </t>
  </si>
  <si>
    <t>Cumulative Cash Flow End of year 15</t>
  </si>
  <si>
    <t>Number of Payments per year</t>
  </si>
  <si>
    <t>Value Description</t>
  </si>
  <si>
    <t>KEY</t>
  </si>
  <si>
    <t>PAYMENT NUMBER</t>
  </si>
  <si>
    <t>PRINCIPLE BALANCE</t>
  </si>
  <si>
    <t>PAYMENT AMOUNT</t>
  </si>
  <si>
    <t>INTEREST APPLIED</t>
  </si>
  <si>
    <t>PRINCIPLE APPLIED</t>
  </si>
  <si>
    <t>REMAINING BALANCE</t>
  </si>
  <si>
    <t>Year #, IF     monthly payments</t>
  </si>
  <si>
    <t>INPUTS &amp; OUTPUTS</t>
  </si>
  <si>
    <t>Sheet Password: CashFlow</t>
  </si>
  <si>
    <t>Post Retrofit  Annual Savings</t>
  </si>
  <si>
    <t>Loan Term (yrs.)</t>
  </si>
  <si>
    <t>Difference, Compared with No Action</t>
  </si>
  <si>
    <t>Closing Costs*</t>
  </si>
  <si>
    <t>Quarterly Payment **</t>
  </si>
  <si>
    <t>**Note - If quarterly or annual payments are made, these numbers will be slightly higher due to deferred interest payments</t>
  </si>
  <si>
    <t>Annual Pament **</t>
  </si>
  <si>
    <t>Project Costs - Down Payment</t>
  </si>
  <si>
    <t>Energy Cost Escalation</t>
  </si>
  <si>
    <t>Cumulative Cash Flow (Energy Cost + Annual Payment)</t>
  </si>
  <si>
    <t>End of year:</t>
  </si>
  <si>
    <t xml:space="preserve">Loan, 5 Year Delay </t>
  </si>
  <si>
    <t>Annual Cash Flow (Energy Cost + Annual Payment)</t>
  </si>
  <si>
    <t>Term (yr.)</t>
  </si>
  <si>
    <t xml:space="preserve">Totals </t>
  </si>
  <si>
    <t>Totals</t>
  </si>
  <si>
    <t>Pre-Retrofit Annual Energy Expenditure</t>
  </si>
  <si>
    <t>Post Retrofit Annual Energy  Savings %</t>
  </si>
  <si>
    <t>Energy Cost Annual Escalation Rate</t>
  </si>
  <si>
    <t>Interest Rate</t>
  </si>
  <si>
    <t>Interest on Loan Amount</t>
  </si>
  <si>
    <t>Cost for Improvements</t>
  </si>
  <si>
    <t>"Pre" Annual Energy Expenditure</t>
  </si>
  <si>
    <t>"Post" Annual Energy Expenditure</t>
  </si>
  <si>
    <t xml:space="preserve">Loan, Immediate Action </t>
  </si>
  <si>
    <t>Loan, 5 Year Delay</t>
  </si>
  <si>
    <t>Loan, Immediate Action</t>
  </si>
  <si>
    <t>Assumptions</t>
  </si>
  <si>
    <t xml:space="preserve"> Cash Flow Calculator </t>
  </si>
  <si>
    <t xml:space="preserve">Energy Project - Cost Comparison </t>
  </si>
  <si>
    <t>*Loan Fee (with Commitment fee applied) + Document Prep/Legal $2,500.  Adjust Closing Costs formula in J6 to reflect project costs above $1M</t>
  </si>
  <si>
    <t>Owner takes immediate action, applying for a loan for energy project, and proceedd with design and construction procurement in year 0.</t>
  </si>
  <si>
    <t>Year 0 Payments will be interest only and will be calculated by project.</t>
  </si>
  <si>
    <t>Year 0 Cash Flow to be calculated by project and will influence Cumulative Cash Flow.</t>
  </si>
  <si>
    <t>Owner takes immediate action by hiring/paying grant writers to seek a grant or appropriation for energy project.  Grant prep costs are estimates only.</t>
  </si>
  <si>
    <t>Difference, compared with Loan, Immediate Action</t>
  </si>
  <si>
    <t>Difference, compared with Loan, 5 yr Delay</t>
  </si>
  <si>
    <t>Disclaimer:</t>
  </si>
  <si>
    <t xml:space="preserve">This Cash Flow Calculator is for Demonstration Purposes ONLY. No guarantees to the accuracy of this analysis are made or implied. All Facility Owners and Borrowers should complete their own financial analysis before committing to a project.  </t>
  </si>
  <si>
    <t>Cumulative Energy Costs - No Action</t>
  </si>
  <si>
    <t>Post Retrofit Annual Energy Cost Savings</t>
  </si>
  <si>
    <t>Appropriation Awarded at Year 5</t>
  </si>
  <si>
    <t>Appropriation Awarded Year 5</t>
  </si>
  <si>
    <t>Appropriation, Awarded on 5th year</t>
  </si>
  <si>
    <t>Appropriation Request Prep. Costs</t>
  </si>
  <si>
    <t>Discount Rate:</t>
  </si>
  <si>
    <t>ECM Cost</t>
  </si>
  <si>
    <t>Present Value Savings:</t>
  </si>
  <si>
    <t>Net Present Value (NPV):</t>
  </si>
  <si>
    <t>Savings to Investment Ratio (SIR):</t>
  </si>
  <si>
    <t xml:space="preserve"> (PV Savings/PV Investment)</t>
  </si>
  <si>
    <t>Internal Rate of Return (IRR):</t>
  </si>
  <si>
    <t>IRR assumes interim proceeds can be invested at the IRR rate.</t>
  </si>
  <si>
    <t>Adjusted Internal Rate of Return (AIRR):</t>
  </si>
  <si>
    <t>where AIRR = {[1+Discount Rate]*[(SIR)^(1/Life) ]}- 1</t>
  </si>
  <si>
    <t>AIRR assumes interim proceeds can be invested at the discount rate.</t>
  </si>
  <si>
    <t>Discount Rate</t>
  </si>
  <si>
    <t>Post-Retrofit Annual Energy Expenditure</t>
  </si>
  <si>
    <t>Gross Project Cost</t>
  </si>
  <si>
    <t>Simple Payback</t>
  </si>
  <si>
    <t>IRR</t>
  </si>
  <si>
    <t>NPV</t>
  </si>
  <si>
    <t>Savings to Inv. Ratio</t>
  </si>
  <si>
    <t>Avg. Ann. Cashflow</t>
  </si>
  <si>
    <t>See Graphics</t>
  </si>
  <si>
    <t xml:space="preserve"> Loan - Immediate Action </t>
  </si>
  <si>
    <t xml:space="preserve">Loan - 5 Year Delay </t>
  </si>
  <si>
    <t>Owner takes action at end of year 5, applying for a loan for energy project, and proceeds with design and construction procurement in year 6.</t>
  </si>
  <si>
    <t>Year 6 Payments, first year of loan, will be interest only and will be calculated by project.</t>
  </si>
  <si>
    <t>Year 6 Cash Flow (interest only loan payments) to be calculated by project and will influence Cumulative Cash Flow.</t>
  </si>
  <si>
    <t>Outputs from calculations</t>
  </si>
  <si>
    <t>Cumulative Cash Flow, Individual Funding Scenarios</t>
  </si>
  <si>
    <t>(Energy Costs + Payments)</t>
  </si>
  <si>
    <t>LOAN DETAIL, OUTPUTS</t>
  </si>
  <si>
    <t xml:space="preserve">This is the Design &amp; Construction year after the grant is awarded for year 5, thus no Grant Prep Costs. Energy Cost Savings may be incurred during the design/construction year, dependant on implementation schedule. </t>
  </si>
  <si>
    <t>Loan, Immediate Action - Detail</t>
  </si>
  <si>
    <t>Avg. Ann. Savings</t>
  </si>
  <si>
    <t>ECONOMIC SUMMARY (Assuming Loan)</t>
  </si>
  <si>
    <t>Difference, compared with Appropriation Awarded yr 5</t>
  </si>
  <si>
    <t xml:space="preserve">CASH FLOW COMPARISON, COST OF DELAY </t>
  </si>
  <si>
    <t>Cumulative Costs (Energy Cost + Annual Payment)</t>
  </si>
  <si>
    <t>Cumulative Cash Flow (Energy Cost + Approp. Request Prep. Costs)</t>
  </si>
  <si>
    <t>Annual Cash Flow (Energy Cost + Approp. Request Prep. Costs)</t>
  </si>
  <si>
    <t>Cumulative Cost Savings (Savings-Approp. Request Prep. Costs)</t>
  </si>
  <si>
    <t>Annual Cost Savings (Savings-Approp. Request Prep. Costs)</t>
  </si>
  <si>
    <t>Annual Cost Savings (Savings-loan pmt.)</t>
  </si>
  <si>
    <t>Cumulative Cost Savings (Savings-loan pmt.)</t>
  </si>
  <si>
    <t>Annual Cash Flow, Individual Funding Scenarios</t>
  </si>
  <si>
    <t>The list of graphs below can be viewed by scrolling down, or clicking the link.</t>
  </si>
  <si>
    <t>Cumulative Energy Costs w/ Retrofit</t>
  </si>
  <si>
    <t>Annual Cash Flow Comparison (Energy Costs + Payments)</t>
  </si>
  <si>
    <t>Cumulative Cash Flow Comparison (Energy Costs + Payments)</t>
  </si>
  <si>
    <t>Annual Cost Savings Comparison (Energy Cost Savings - Payments)</t>
  </si>
  <si>
    <t>Cumulative Cash Flow, Individual Funding Scenario (Energy Costs + Payments)</t>
  </si>
  <si>
    <t>Cumulative Costs &amp; the Benefit of Action</t>
  </si>
  <si>
    <t>Cumulative Cost Detail (Yr. 1-15)</t>
  </si>
  <si>
    <t>End of Year:</t>
  </si>
  <si>
    <t>Energy Cost Savings</t>
  </si>
  <si>
    <t>Operation and Maintenance Costs</t>
  </si>
  <si>
    <t>Other Beneifits/cost</t>
  </si>
  <si>
    <t>Net Cash Flow</t>
  </si>
  <si>
    <t>Cumulative Cash Flow</t>
  </si>
  <si>
    <t>Life of ECM</t>
  </si>
  <si>
    <t>Net Present Value Calculations, linked to In-Out tab</t>
  </si>
  <si>
    <t xml:space="preserve">Assumed Project Life </t>
  </si>
  <si>
    <t>Cumulative Project Savings</t>
  </si>
  <si>
    <t>Adj. Rate of Return*</t>
  </si>
  <si>
    <r>
      <t>*</t>
    </r>
    <r>
      <rPr>
        <i/>
        <sz val="11"/>
        <rFont val="Franklin Gothic Book"/>
        <family val="2"/>
      </rPr>
      <t>Where AIRR = {[1+Discount Rate]*[(SIR)^(1/Life) ]}- 1</t>
    </r>
  </si>
  <si>
    <t>INVESTMENT ANALYSIS</t>
  </si>
  <si>
    <t>Project Cost</t>
  </si>
  <si>
    <t>Life Cycle Savings</t>
  </si>
  <si>
    <t>Internal Rate of Return (IRR)</t>
  </si>
  <si>
    <t>Only applicable if using internal funds</t>
  </si>
  <si>
    <t>Cost of Delay (6 Months)</t>
  </si>
  <si>
    <t xml:space="preserve">Lost incremental cash flow from waiting to implement project </t>
  </si>
  <si>
    <t>Total Paid  (Loan Payments + Closing Costs)</t>
  </si>
  <si>
    <t>Represents average energy cost savings - loan payments</t>
  </si>
  <si>
    <t xml:space="preserve">Annual Savings  </t>
  </si>
  <si>
    <t>No loan payment</t>
  </si>
  <si>
    <t xml:space="preserve">With loan payment </t>
  </si>
  <si>
    <t>Represents increased cash flow from energy cost savings, in scenarios where no loan is taken, or where loan is paid off</t>
  </si>
  <si>
    <t>Cumulative Costs (Energy Cost)</t>
  </si>
  <si>
    <t xml:space="preserve">Cumulative Annual Energy Expenditures </t>
  </si>
  <si>
    <t>Design/Engineering</t>
  </si>
  <si>
    <t xml:space="preserve">User Inputs Required </t>
  </si>
  <si>
    <t xml:space="preserve">This Cash Flow Calculator is for demonstration purposes ONLY. No guarantees to the accuracy of this analysis are made or implied. All Facility Owners and Borrowers should complete their own financial analysis before committing to a project.  </t>
  </si>
  <si>
    <t>Feedback:</t>
  </si>
  <si>
    <t>Version 01.04.16</t>
  </si>
  <si>
    <t xml:space="preserve">The Calculator is intended to be used by project developers, facility managers and others who will assist facility owners decide whether to pursue an energy retrofit project or not, and define what funding source will be cost effective.  </t>
  </si>
  <si>
    <t>The Calculator is intended to be used after the facility or facilities receive an energy audit, so the user can refer to the audit for the annual energy expenditure, and credible estimates for project cost and annual energy savings.</t>
  </si>
  <si>
    <t>What:</t>
  </si>
  <si>
    <t>Who:</t>
  </si>
  <si>
    <t xml:space="preserve">When: </t>
  </si>
  <si>
    <t>This version of the Calculator was released on 01.04.16.  AHFC is interested in your input as to how the Cash Flow Calculator can be improved.  Please send feedback to Tim Leach, tleach@ahfc.us, and Scott Waterman, swaterman@ahfc.us.  Project developers who wish to change the assumptions or calculations may do so by unlocking the worksheets with password "CashFlow".  There is also a hidden "Calculations" worksheet that holds the amortization and net present value tables.</t>
  </si>
  <si>
    <t xml:space="preserve">The Cash Flow Calculator, created by Alaska Housing Finance Corporation, provides a preliminary analysis of the cost effectiveness of an energy efficiency retrofit and compares cash flows of under various funding scenarios.  Additionally, the cost of inaction is illustrated to help building owners identify the impact to their budget of delaying a project.  
Four scenarios are provided: 1) an appropriation awarded on year five, 2) a loan taken immediately, 3) a loan taken after a 5 year delay, and 4) no action. 
The cash flows that are generated are based on a few user inputs, noted by light blue cells on the Inputs worksheet, and a series of assumptions.  Where significant to the user, the assumptions are either incorporated as a note visible when the user hovers over the cell, or as a note in a separate cell.   The tool is intended as a starting point in the analysis of various funding options and it will not be a perfect fit for each project.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</si>
</sst>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8" formatCode="&quot;$&quot;#,##0.00_);[Red]\(&quot;$&quot;#,##0.00\)"/>
    <numFmt numFmtId="44" formatCode="_(&quot;$&quot;* #,##0.00_);_(&quot;$&quot;* \(#,##0.00\);_(&quot;$&quot;* &quot;-&quot;??_);_(@_)"/>
    <numFmt numFmtId="43" formatCode="_(* #,##0.00_);_(* \(#,##0.00\);_(* &quot;-&quot;??_);_(@_)"/>
    <numFmt numFmtId="164" formatCode="0_)"/>
    <numFmt numFmtId="165" formatCode="0.000%"/>
    <numFmt numFmtId="166" formatCode="_(&quot;$&quot;* #,##0_);_(&quot;$&quot;* \(#,##0\);_(&quot;$&quot;* &quot;-&quot;??_);_(@_)"/>
    <numFmt numFmtId="167" formatCode="0.0%"/>
    <numFmt numFmtId="168" formatCode="0.00_)"/>
    <numFmt numFmtId="169" formatCode="&quot;$&quot;#,##0"/>
  </numFmts>
  <fonts count="50">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14"/>
      <color rgb="FFFF0000"/>
      <name val="Arial MT"/>
    </font>
    <font>
      <sz val="11"/>
      <name val="Calibri"/>
      <family val="2"/>
      <scheme val="minor"/>
    </font>
    <font>
      <b/>
      <sz val="28"/>
      <color theme="1"/>
      <name val="Calibri"/>
      <family val="2"/>
      <scheme val="minor"/>
    </font>
    <font>
      <sz val="11"/>
      <color theme="0"/>
      <name val="Calibri"/>
      <family val="2"/>
      <scheme val="minor"/>
    </font>
    <font>
      <b/>
      <sz val="36"/>
      <color theme="1"/>
      <name val="Calibri"/>
      <family val="2"/>
      <scheme val="minor"/>
    </font>
    <font>
      <b/>
      <sz val="11"/>
      <name val="Calibri"/>
      <family val="2"/>
      <scheme val="minor"/>
    </font>
    <font>
      <sz val="10"/>
      <name val="Courier New"/>
      <family val="3"/>
    </font>
    <font>
      <sz val="10"/>
      <name val="Times New Roman"/>
      <family val="1"/>
    </font>
    <font>
      <sz val="14"/>
      <name val="Calibri"/>
      <family val="2"/>
      <scheme val="minor"/>
    </font>
    <font>
      <b/>
      <sz val="14"/>
      <name val="Calibri"/>
      <family val="2"/>
      <scheme val="minor"/>
    </font>
    <font>
      <b/>
      <u val="double"/>
      <sz val="14"/>
      <name val="Calibri"/>
      <family val="2"/>
      <scheme val="minor"/>
    </font>
    <font>
      <u/>
      <sz val="11"/>
      <color theme="10"/>
      <name val="Calibri"/>
      <family val="2"/>
      <scheme val="minor"/>
    </font>
    <font>
      <b/>
      <sz val="11"/>
      <color theme="2"/>
      <name val="Calibri"/>
      <family val="2"/>
      <scheme val="minor"/>
    </font>
    <font>
      <sz val="11"/>
      <color theme="2"/>
      <name val="Calibri"/>
      <family val="2"/>
      <scheme val="minor"/>
    </font>
    <font>
      <sz val="16"/>
      <color theme="1"/>
      <name val="Calibri"/>
      <family val="2"/>
      <scheme val="minor"/>
    </font>
    <font>
      <b/>
      <sz val="18"/>
      <color theme="1"/>
      <name val="Calibri"/>
      <family val="2"/>
      <scheme val="minor"/>
    </font>
    <font>
      <b/>
      <sz val="16"/>
      <color theme="1"/>
      <name val="Calibri"/>
      <family val="2"/>
      <scheme val="minor"/>
    </font>
    <font>
      <b/>
      <sz val="36"/>
      <name val="Calibri"/>
      <family val="2"/>
      <scheme val="minor"/>
    </font>
    <font>
      <b/>
      <sz val="28"/>
      <name val="Calibri"/>
      <family val="2"/>
      <scheme val="minor"/>
    </font>
    <font>
      <sz val="22"/>
      <color theme="1"/>
      <name val="Calibri"/>
      <family val="2"/>
      <scheme val="minor"/>
    </font>
    <font>
      <b/>
      <sz val="18"/>
      <name val="Calibri"/>
      <family val="2"/>
      <scheme val="minor"/>
    </font>
    <font>
      <sz val="11"/>
      <color theme="1"/>
      <name val="Franklin Gothic Book"/>
      <family val="2"/>
    </font>
    <font>
      <sz val="14"/>
      <color theme="1"/>
      <name val="Franklin Gothic Book"/>
      <family val="2"/>
    </font>
    <font>
      <b/>
      <sz val="14"/>
      <color theme="1"/>
      <name val="Franklin Gothic Book"/>
      <family val="2"/>
    </font>
    <font>
      <sz val="11"/>
      <name val="Franklin Gothic Book"/>
      <family val="2"/>
    </font>
    <font>
      <b/>
      <sz val="14"/>
      <name val="Franklin Gothic Book"/>
      <family val="2"/>
    </font>
    <font>
      <sz val="11"/>
      <color theme="2"/>
      <name val="Franklin Gothic Book"/>
      <family val="2"/>
    </font>
    <font>
      <sz val="18"/>
      <name val="Franklin Gothic Book"/>
      <family val="2"/>
    </font>
    <font>
      <b/>
      <sz val="24"/>
      <color theme="1"/>
      <name val="Franklin Gothic Book"/>
      <family val="2"/>
    </font>
    <font>
      <sz val="11"/>
      <color rgb="FFFFFF00"/>
      <name val="Franklin Gothic Book"/>
      <family val="2"/>
    </font>
    <font>
      <b/>
      <sz val="22"/>
      <color theme="1"/>
      <name val="Franklin Gothic Book"/>
      <family val="2"/>
    </font>
    <font>
      <i/>
      <sz val="11"/>
      <name val="Franklin Gothic Book"/>
      <family val="2"/>
    </font>
    <font>
      <u/>
      <sz val="28"/>
      <color theme="10"/>
      <name val="Franklin Gothic Book"/>
      <family val="2"/>
    </font>
    <font>
      <b/>
      <sz val="16"/>
      <color theme="1"/>
      <name val="Franklin Gothic Book"/>
      <family val="2"/>
    </font>
    <font>
      <sz val="16"/>
      <color theme="1"/>
      <name val="Franklin Gothic Book"/>
      <family val="2"/>
    </font>
    <font>
      <b/>
      <sz val="16"/>
      <name val="Franklin Gothic Book"/>
      <family val="2"/>
    </font>
    <font>
      <sz val="16"/>
      <name val="Franklin Gothic Book"/>
      <family val="2"/>
    </font>
    <font>
      <sz val="16"/>
      <color theme="2"/>
      <name val="Franklin Gothic Book"/>
      <family val="2"/>
    </font>
    <font>
      <sz val="36"/>
      <name val="Franklin Gothic Demi"/>
      <family val="2"/>
    </font>
    <font>
      <sz val="28"/>
      <name val="Franklin Gothic Book"/>
      <family val="2"/>
    </font>
    <font>
      <b/>
      <sz val="14"/>
      <color theme="0"/>
      <name val="Calibri"/>
      <family val="2"/>
      <scheme val="minor"/>
    </font>
    <font>
      <sz val="14"/>
      <color theme="0"/>
      <name val="Calibri"/>
      <family val="2"/>
      <scheme val="minor"/>
    </font>
    <font>
      <i/>
      <sz val="14"/>
      <color theme="0"/>
      <name val="Calibri"/>
      <family val="2"/>
      <scheme val="minor"/>
    </font>
  </fonts>
  <fills count="13">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B4D6F1"/>
        <bgColor indexed="64"/>
      </patternFill>
    </fill>
    <fill>
      <patternFill patternType="solid">
        <fgColor rgb="FFA2B274"/>
        <bgColor indexed="64"/>
      </patternFill>
    </fill>
    <fill>
      <patternFill patternType="solid">
        <fgColor rgb="FFE4781D"/>
        <bgColor indexed="64"/>
      </patternFill>
    </fill>
    <fill>
      <patternFill patternType="solid">
        <fgColor rgb="FFEDB71E"/>
        <bgColor indexed="64"/>
      </patternFill>
    </fill>
    <fill>
      <patternFill patternType="solid">
        <fgColor rgb="FF8DC63F"/>
        <bgColor indexed="64"/>
      </patternFill>
    </fill>
    <fill>
      <patternFill patternType="solid">
        <fgColor rgb="FF0067B0"/>
        <bgColor indexed="64"/>
      </patternFill>
    </fill>
    <fill>
      <patternFill patternType="solid">
        <fgColor rgb="FF3B689F"/>
        <bgColor indexed="64"/>
      </patternFill>
    </fill>
  </fills>
  <borders count="4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xf numFmtId="0" fontId="18" fillId="0" borderId="0" applyNumberFormat="0" applyFill="0" applyBorder="0" applyAlignment="0" applyProtection="0"/>
  </cellStyleXfs>
  <cellXfs count="317">
    <xf numFmtId="0" fontId="0" fillId="0" borderId="0" xfId="0"/>
    <xf numFmtId="0" fontId="0" fillId="0" borderId="0" xfId="0" applyAlignment="1">
      <alignment wrapText="1"/>
    </xf>
    <xf numFmtId="0" fontId="0" fillId="0" borderId="0" xfId="0" applyAlignment="1">
      <alignment horizontal="centerContinuous" wrapText="1"/>
    </xf>
    <xf numFmtId="0" fontId="0" fillId="3" borderId="2" xfId="0" applyFill="1" applyBorder="1" applyAlignment="1">
      <alignment wrapText="1"/>
    </xf>
    <xf numFmtId="0" fontId="0" fillId="3" borderId="0" xfId="0" applyFill="1" applyBorder="1" applyAlignment="1">
      <alignment wrapText="1"/>
    </xf>
    <xf numFmtId="44" fontId="0" fillId="3" borderId="0" xfId="2" applyFont="1" applyFill="1" applyBorder="1" applyAlignment="1">
      <alignment wrapText="1"/>
    </xf>
    <xf numFmtId="44" fontId="0" fillId="3" borderId="0" xfId="0" applyNumberFormat="1" applyFill="1" applyBorder="1" applyAlignment="1">
      <alignment wrapText="1"/>
    </xf>
    <xf numFmtId="0" fontId="2" fillId="3" borderId="0" xfId="0" applyFont="1" applyFill="1" applyBorder="1" applyAlignment="1">
      <alignment wrapText="1"/>
    </xf>
    <xf numFmtId="166" fontId="0" fillId="3" borderId="0" xfId="2" applyNumberFormat="1" applyFont="1" applyFill="1" applyBorder="1" applyAlignment="1">
      <alignment wrapText="1"/>
    </xf>
    <xf numFmtId="166" fontId="0" fillId="3" borderId="0" xfId="0" applyNumberFormat="1" applyFill="1" applyBorder="1" applyAlignment="1">
      <alignment wrapText="1"/>
    </xf>
    <xf numFmtId="44" fontId="0" fillId="0" borderId="0" xfId="0" applyNumberFormat="1"/>
    <xf numFmtId="44" fontId="0" fillId="3" borderId="0" xfId="0" applyNumberFormat="1" applyFont="1" applyFill="1" applyBorder="1" applyAlignment="1">
      <alignment wrapText="1"/>
    </xf>
    <xf numFmtId="0" fontId="2" fillId="3" borderId="0" xfId="0" applyFont="1" applyFill="1" applyBorder="1" applyAlignment="1">
      <alignment horizontal="right" wrapText="1"/>
    </xf>
    <xf numFmtId="0" fontId="0" fillId="4" borderId="0" xfId="0" applyFill="1"/>
    <xf numFmtId="166" fontId="0" fillId="0" borderId="0" xfId="0" applyNumberFormat="1"/>
    <xf numFmtId="0" fontId="0" fillId="0" borderId="0" xfId="0" applyBorder="1" applyAlignment="1">
      <alignment wrapText="1"/>
    </xf>
    <xf numFmtId="0" fontId="0" fillId="0" borderId="0" xfId="0" applyAlignment="1">
      <alignment vertical="center"/>
    </xf>
    <xf numFmtId="0" fontId="0" fillId="3" borderId="0" xfId="0" applyFont="1" applyFill="1" applyBorder="1" applyAlignment="1">
      <alignment horizontal="center" wrapText="1"/>
    </xf>
    <xf numFmtId="0" fontId="0" fillId="3" borderId="0" xfId="0" applyFill="1" applyBorder="1" applyAlignment="1">
      <alignment horizontal="center" wrapText="1"/>
    </xf>
    <xf numFmtId="0" fontId="0" fillId="0" borderId="0" xfId="0" applyNumberFormat="1" applyAlignment="1">
      <alignment horizontal="center"/>
    </xf>
    <xf numFmtId="0" fontId="2" fillId="3" borderId="2" xfId="0" applyFont="1" applyFill="1" applyBorder="1" applyAlignment="1">
      <alignment horizontal="center" wrapText="1"/>
    </xf>
    <xf numFmtId="0" fontId="2" fillId="0" borderId="0" xfId="0" applyFont="1"/>
    <xf numFmtId="0" fontId="3" fillId="0" borderId="0" xfId="0" applyFont="1" applyBorder="1" applyAlignment="1">
      <alignment wrapText="1"/>
    </xf>
    <xf numFmtId="0" fontId="0" fillId="0" borderId="0" xfId="0" applyBorder="1"/>
    <xf numFmtId="44" fontId="0" fillId="3" borderId="24" xfId="0" applyNumberFormat="1" applyFill="1" applyBorder="1" applyAlignment="1">
      <alignment wrapText="1"/>
    </xf>
    <xf numFmtId="44" fontId="0" fillId="3" borderId="17" xfId="0" applyNumberFormat="1" applyFill="1" applyBorder="1" applyAlignment="1">
      <alignment wrapText="1"/>
    </xf>
    <xf numFmtId="44" fontId="0" fillId="3" borderId="18" xfId="0" applyNumberFormat="1" applyFill="1" applyBorder="1" applyAlignment="1">
      <alignment wrapText="1"/>
    </xf>
    <xf numFmtId="44" fontId="0" fillId="3" borderId="19" xfId="0" applyNumberFormat="1" applyFill="1" applyBorder="1" applyAlignment="1">
      <alignment wrapText="1"/>
    </xf>
    <xf numFmtId="44" fontId="0" fillId="3" borderId="20" xfId="0" applyNumberFormat="1" applyFill="1" applyBorder="1" applyAlignment="1">
      <alignment wrapText="1"/>
    </xf>
    <xf numFmtId="44" fontId="0" fillId="3" borderId="21" xfId="0" applyNumberFormat="1" applyFill="1" applyBorder="1" applyAlignment="1">
      <alignment wrapText="1"/>
    </xf>
    <xf numFmtId="44" fontId="0" fillId="3" borderId="23" xfId="0" applyNumberFormat="1" applyFill="1" applyBorder="1" applyAlignment="1">
      <alignment wrapText="1"/>
    </xf>
    <xf numFmtId="0" fontId="0" fillId="3" borderId="19" xfId="0" applyNumberFormat="1" applyFill="1" applyBorder="1" applyAlignment="1">
      <alignment horizontal="center" wrapText="1"/>
    </xf>
    <xf numFmtId="9" fontId="0" fillId="3" borderId="0" xfId="3" applyFont="1" applyFill="1" applyBorder="1" applyAlignment="1">
      <alignment wrapText="1"/>
    </xf>
    <xf numFmtId="9" fontId="0" fillId="3" borderId="22" xfId="3" applyFont="1" applyFill="1" applyBorder="1" applyAlignment="1">
      <alignment wrapText="1"/>
    </xf>
    <xf numFmtId="44" fontId="0" fillId="3" borderId="17" xfId="0" applyNumberFormat="1" applyFill="1" applyBorder="1" applyAlignment="1">
      <alignment horizontal="left" wrapText="1"/>
    </xf>
    <xf numFmtId="0" fontId="0" fillId="3" borderId="3" xfId="0" applyFill="1" applyBorder="1" applyAlignment="1">
      <alignment wrapText="1"/>
    </xf>
    <xf numFmtId="0" fontId="2" fillId="3" borderId="5" xfId="0" applyFont="1" applyFill="1" applyBorder="1" applyAlignment="1">
      <alignment wrapText="1"/>
    </xf>
    <xf numFmtId="166" fontId="0" fillId="3" borderId="5" xfId="0" applyNumberFormat="1" applyFill="1" applyBorder="1" applyAlignment="1">
      <alignment wrapText="1"/>
    </xf>
    <xf numFmtId="166" fontId="0" fillId="3" borderId="8" xfId="0" applyNumberFormat="1" applyFill="1" applyBorder="1" applyAlignment="1">
      <alignment wrapText="1"/>
    </xf>
    <xf numFmtId="166" fontId="0" fillId="3" borderId="4" xfId="0" applyNumberFormat="1" applyFill="1" applyBorder="1" applyAlignment="1">
      <alignment wrapText="1"/>
    </xf>
    <xf numFmtId="166" fontId="0" fillId="3" borderId="7" xfId="0" applyNumberFormat="1" applyFill="1" applyBorder="1" applyAlignment="1">
      <alignment wrapText="1"/>
    </xf>
    <xf numFmtId="0" fontId="2" fillId="3" borderId="2" xfId="0" applyFont="1" applyFill="1" applyBorder="1" applyAlignment="1">
      <alignment wrapText="1"/>
    </xf>
    <xf numFmtId="0" fontId="0" fillId="0" borderId="0" xfId="0" applyFont="1" applyAlignment="1">
      <alignment vertical="top" wrapText="1"/>
    </xf>
    <xf numFmtId="0" fontId="0" fillId="0" borderId="0" xfId="0" applyAlignment="1">
      <alignment horizontal="center" vertical="top" wrapText="1"/>
    </xf>
    <xf numFmtId="0" fontId="2" fillId="3" borderId="2" xfId="0" applyFont="1" applyFill="1" applyBorder="1" applyAlignment="1">
      <alignment horizontal="center" wrapText="1"/>
    </xf>
    <xf numFmtId="166" fontId="0" fillId="3" borderId="0" xfId="0" applyNumberFormat="1" applyFont="1" applyFill="1" applyBorder="1" applyAlignment="1">
      <alignment wrapText="1"/>
    </xf>
    <xf numFmtId="0" fontId="0" fillId="3" borderId="0" xfId="0" applyFont="1" applyFill="1" applyBorder="1" applyAlignment="1">
      <alignment horizontal="right" wrapText="1"/>
    </xf>
    <xf numFmtId="0" fontId="0" fillId="0" borderId="15" xfId="0" applyBorder="1" applyAlignment="1">
      <alignment horizontal="center" wrapText="1"/>
    </xf>
    <xf numFmtId="0" fontId="0" fillId="0" borderId="16" xfId="0" applyBorder="1" applyAlignment="1">
      <alignment horizontal="center" wrapText="1"/>
    </xf>
    <xf numFmtId="0" fontId="10" fillId="5" borderId="3" xfId="0" applyFont="1" applyFill="1" applyBorder="1" applyAlignment="1">
      <alignment wrapText="1"/>
    </xf>
    <xf numFmtId="0" fontId="19" fillId="5" borderId="5" xfId="0" applyFont="1" applyFill="1" applyBorder="1" applyAlignment="1">
      <alignment wrapText="1"/>
    </xf>
    <xf numFmtId="166" fontId="20" fillId="5" borderId="5" xfId="0" applyNumberFormat="1" applyFont="1" applyFill="1" applyBorder="1" applyAlignment="1">
      <alignment wrapText="1"/>
    </xf>
    <xf numFmtId="44" fontId="20" fillId="5" borderId="5" xfId="0" applyNumberFormat="1" applyFont="1" applyFill="1" applyBorder="1" applyAlignment="1">
      <alignment wrapText="1"/>
    </xf>
    <xf numFmtId="166" fontId="20" fillId="5" borderId="8" xfId="0" applyNumberFormat="1" applyFont="1" applyFill="1" applyBorder="1" applyAlignment="1">
      <alignment wrapText="1"/>
    </xf>
    <xf numFmtId="0" fontId="20" fillId="5" borderId="7" xfId="0" applyFont="1" applyFill="1" applyBorder="1" applyAlignment="1">
      <alignment wrapText="1"/>
    </xf>
    <xf numFmtId="9" fontId="20" fillId="5" borderId="7" xfId="3" applyFont="1" applyFill="1" applyBorder="1" applyAlignment="1">
      <alignment wrapText="1"/>
    </xf>
    <xf numFmtId="166" fontId="20" fillId="5" borderId="7" xfId="0" applyNumberFormat="1" applyFont="1" applyFill="1" applyBorder="1" applyAlignment="1">
      <alignment wrapText="1"/>
    </xf>
    <xf numFmtId="0" fontId="20" fillId="5" borderId="3" xfId="0" applyFont="1" applyFill="1" applyBorder="1" applyAlignment="1">
      <alignment wrapText="1"/>
    </xf>
    <xf numFmtId="166" fontId="0" fillId="3" borderId="22" xfId="0" applyNumberFormat="1" applyFill="1" applyBorder="1" applyAlignment="1">
      <alignment wrapText="1"/>
    </xf>
    <xf numFmtId="166" fontId="0" fillId="3" borderId="23" xfId="0" applyNumberFormat="1" applyFill="1" applyBorder="1" applyAlignment="1">
      <alignment wrapText="1"/>
    </xf>
    <xf numFmtId="0" fontId="12" fillId="3" borderId="9" xfId="0" applyFont="1" applyFill="1" applyBorder="1" applyAlignment="1">
      <alignment wrapText="1"/>
    </xf>
    <xf numFmtId="0" fontId="16" fillId="4" borderId="26" xfId="0" applyFont="1" applyFill="1" applyBorder="1" applyAlignment="1">
      <alignment horizontal="left" wrapText="1"/>
    </xf>
    <xf numFmtId="0" fontId="0" fillId="0" borderId="0" xfId="0" applyFont="1" applyAlignment="1">
      <alignment wrapText="1"/>
    </xf>
    <xf numFmtId="0" fontId="24" fillId="0" borderId="0" xfId="0" applyFont="1" applyBorder="1" applyAlignment="1">
      <alignment horizontal="center" wrapText="1"/>
    </xf>
    <xf numFmtId="0" fontId="8" fillId="0" borderId="0" xfId="0" applyFont="1" applyAlignment="1">
      <alignment wrapText="1"/>
    </xf>
    <xf numFmtId="0" fontId="25" fillId="0" borderId="25" xfId="0" applyFont="1" applyBorder="1" applyAlignment="1">
      <alignment horizontal="center" wrapText="1"/>
    </xf>
    <xf numFmtId="0" fontId="16" fillId="0" borderId="0" xfId="0" applyFont="1" applyAlignment="1">
      <alignment wrapText="1"/>
    </xf>
    <xf numFmtId="0" fontId="0" fillId="0" borderId="28" xfId="0" applyBorder="1"/>
    <xf numFmtId="0" fontId="0" fillId="0" borderId="40" xfId="0" applyBorder="1"/>
    <xf numFmtId="0" fontId="0" fillId="0" borderId="29" xfId="0" applyBorder="1"/>
    <xf numFmtId="0" fontId="0" fillId="0" borderId="25" xfId="0" applyBorder="1"/>
    <xf numFmtId="0" fontId="0" fillId="0" borderId="41" xfId="0" applyBorder="1"/>
    <xf numFmtId="0" fontId="26" fillId="0" borderId="0" xfId="0" applyFont="1"/>
    <xf numFmtId="44" fontId="0" fillId="0" borderId="0" xfId="2" applyFont="1" applyAlignment="1">
      <alignment wrapText="1"/>
    </xf>
    <xf numFmtId="0" fontId="0" fillId="0" borderId="0" xfId="0" applyAlignment="1">
      <alignment horizontal="right" wrapText="1"/>
    </xf>
    <xf numFmtId="44" fontId="0" fillId="0" borderId="0" xfId="2" applyFont="1" applyAlignment="1" applyProtection="1">
      <alignment wrapText="1"/>
    </xf>
    <xf numFmtId="44" fontId="0" fillId="2" borderId="0" xfId="2" applyNumberFormat="1" applyFont="1" applyFill="1" applyBorder="1" applyAlignment="1">
      <alignment wrapText="1"/>
    </xf>
    <xf numFmtId="44" fontId="0" fillId="0" borderId="0" xfId="0" applyNumberFormat="1" applyAlignment="1">
      <alignment wrapText="1"/>
    </xf>
    <xf numFmtId="44" fontId="0" fillId="2" borderId="7" xfId="2" applyNumberFormat="1" applyFont="1" applyFill="1" applyBorder="1" applyAlignment="1">
      <alignment wrapText="1"/>
    </xf>
    <xf numFmtId="164" fontId="0" fillId="0" borderId="0" xfId="0" applyNumberFormat="1" applyAlignment="1" applyProtection="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5" xfId="0" applyBorder="1" applyAlignment="1">
      <alignment wrapText="1"/>
    </xf>
    <xf numFmtId="44" fontId="2" fillId="3" borderId="0" xfId="2" applyFont="1" applyFill="1" applyBorder="1" applyAlignment="1">
      <alignment horizontal="center" wrapText="1"/>
    </xf>
    <xf numFmtId="0" fontId="2" fillId="3" borderId="0" xfId="0" applyFont="1" applyFill="1" applyBorder="1" applyAlignment="1">
      <alignment horizontal="center" wrapText="1"/>
    </xf>
    <xf numFmtId="0" fontId="2" fillId="3" borderId="5" xfId="0" applyFont="1" applyFill="1" applyBorder="1" applyAlignment="1">
      <alignment horizontal="center" wrapText="1"/>
    </xf>
    <xf numFmtId="0" fontId="2" fillId="3" borderId="0" xfId="1" applyNumberFormat="1" applyFont="1" applyFill="1" applyBorder="1" applyAlignment="1">
      <alignment horizontal="center" wrapText="1"/>
    </xf>
    <xf numFmtId="44" fontId="0" fillId="3" borderId="0" xfId="2" applyFont="1" applyFill="1" applyBorder="1" applyAlignment="1">
      <alignment horizontal="center" wrapText="1"/>
    </xf>
    <xf numFmtId="44" fontId="0" fillId="3" borderId="5" xfId="2" applyFont="1" applyFill="1" applyBorder="1" applyAlignment="1">
      <alignment wrapText="1"/>
    </xf>
    <xf numFmtId="44" fontId="0" fillId="3" borderId="5" xfId="0" applyNumberFormat="1" applyFill="1" applyBorder="1" applyAlignment="1">
      <alignment wrapText="1"/>
    </xf>
    <xf numFmtId="0" fontId="0" fillId="0" borderId="4" xfId="0" applyBorder="1" applyAlignment="1">
      <alignment wrapText="1"/>
    </xf>
    <xf numFmtId="164" fontId="0" fillId="0" borderId="0" xfId="0" applyNumberFormat="1" applyBorder="1" applyAlignment="1" applyProtection="1">
      <alignment wrapText="1"/>
    </xf>
    <xf numFmtId="0" fontId="0" fillId="0" borderId="6" xfId="0" applyBorder="1" applyAlignment="1">
      <alignment wrapText="1"/>
    </xf>
    <xf numFmtId="164" fontId="0" fillId="0" borderId="7" xfId="0" applyNumberFormat="1" applyBorder="1" applyAlignment="1" applyProtection="1">
      <alignment wrapText="1"/>
    </xf>
    <xf numFmtId="0" fontId="0" fillId="0" borderId="7" xfId="0" applyBorder="1" applyAlignment="1">
      <alignment wrapText="1"/>
    </xf>
    <xf numFmtId="0" fontId="2" fillId="3" borderId="7" xfId="1" applyNumberFormat="1" applyFont="1" applyFill="1" applyBorder="1" applyAlignment="1">
      <alignment horizontal="center" wrapText="1"/>
    </xf>
    <xf numFmtId="44" fontId="0" fillId="3" borderId="7" xfId="2" applyFont="1" applyFill="1" applyBorder="1" applyAlignment="1">
      <alignment wrapText="1"/>
    </xf>
    <xf numFmtId="44" fontId="0" fillId="3" borderId="7" xfId="2" applyFont="1" applyFill="1" applyBorder="1" applyAlignment="1">
      <alignment horizontal="center" wrapText="1"/>
    </xf>
    <xf numFmtId="44" fontId="0" fillId="3" borderId="7" xfId="0" applyNumberFormat="1" applyFill="1" applyBorder="1" applyAlignment="1">
      <alignment wrapText="1"/>
    </xf>
    <xf numFmtId="44" fontId="0" fillId="3" borderId="8" xfId="0" applyNumberFormat="1" applyFill="1" applyBorder="1" applyAlignment="1">
      <alignment wrapText="1"/>
    </xf>
    <xf numFmtId="0" fontId="0" fillId="0" borderId="0" xfId="0" applyAlignment="1">
      <alignment wrapText="1"/>
    </xf>
    <xf numFmtId="44" fontId="2" fillId="3" borderId="10" xfId="2" applyFont="1" applyFill="1" applyBorder="1" applyAlignment="1" applyProtection="1">
      <alignment wrapText="1"/>
    </xf>
    <xf numFmtId="0" fontId="2" fillId="3" borderId="10" xfId="2" applyNumberFormat="1" applyFont="1" applyFill="1" applyBorder="1" applyAlignment="1" applyProtection="1">
      <alignment wrapText="1"/>
    </xf>
    <xf numFmtId="0" fontId="9" fillId="0" borderId="0" xfId="0" applyFont="1" applyBorder="1" applyAlignment="1">
      <alignment horizontal="center" wrapText="1"/>
    </xf>
    <xf numFmtId="0" fontId="21" fillId="0" borderId="0" xfId="0" applyFont="1"/>
    <xf numFmtId="0" fontId="30" fillId="0" borderId="0" xfId="0" applyFont="1" applyAlignment="1">
      <alignment horizontal="center"/>
    </xf>
    <xf numFmtId="0" fontId="31" fillId="0" borderId="0" xfId="0" applyFont="1" applyAlignment="1">
      <alignment wrapText="1"/>
    </xf>
    <xf numFmtId="0" fontId="31" fillId="0" borderId="0" xfId="0" applyFont="1" applyAlignment="1">
      <alignment horizontal="center" wrapText="1"/>
    </xf>
    <xf numFmtId="0" fontId="28" fillId="0" borderId="0" xfId="0" applyFont="1" applyAlignment="1">
      <alignment wrapText="1"/>
    </xf>
    <xf numFmtId="0" fontId="28" fillId="0" borderId="0" xfId="0" applyFont="1" applyBorder="1" applyAlignment="1">
      <alignment wrapText="1"/>
    </xf>
    <xf numFmtId="0" fontId="28" fillId="0" borderId="0" xfId="0" applyFont="1" applyAlignment="1">
      <alignment horizontal="center" wrapText="1"/>
    </xf>
    <xf numFmtId="0" fontId="32" fillId="0" borderId="0" xfId="0" applyFont="1" applyBorder="1" applyAlignment="1"/>
    <xf numFmtId="0" fontId="31" fillId="0" borderId="0" xfId="0" applyFont="1" applyFill="1" applyBorder="1" applyAlignment="1">
      <alignment wrapText="1"/>
    </xf>
    <xf numFmtId="0" fontId="28" fillId="0" borderId="32" xfId="0" applyFont="1" applyBorder="1" applyAlignment="1">
      <alignment wrapText="1"/>
    </xf>
    <xf numFmtId="0" fontId="31" fillId="0" borderId="0" xfId="0" applyFont="1" applyFill="1"/>
    <xf numFmtId="0" fontId="31" fillId="0" borderId="42" xfId="0" applyFont="1" applyFill="1" applyBorder="1" applyAlignment="1">
      <alignment horizontal="center" vertical="center"/>
    </xf>
    <xf numFmtId="0" fontId="31" fillId="0" borderId="30" xfId="0" applyFont="1" applyFill="1" applyBorder="1" applyAlignment="1">
      <alignment vertical="center"/>
    </xf>
    <xf numFmtId="0" fontId="31" fillId="0" borderId="30" xfId="0" applyFont="1" applyFill="1" applyBorder="1" applyAlignment="1">
      <alignment horizontal="center" vertical="center"/>
    </xf>
    <xf numFmtId="0" fontId="31" fillId="0" borderId="31" xfId="0" applyFont="1" applyFill="1" applyBorder="1" applyAlignment="1">
      <alignment horizontal="center" vertical="center"/>
    </xf>
    <xf numFmtId="0" fontId="31" fillId="0" borderId="35" xfId="0" applyFont="1" applyFill="1" applyBorder="1"/>
    <xf numFmtId="0" fontId="31" fillId="0" borderId="0" xfId="0" applyFont="1" applyFill="1" applyBorder="1"/>
    <xf numFmtId="0" fontId="31" fillId="0" borderId="32" xfId="0" applyFont="1" applyFill="1" applyBorder="1"/>
    <xf numFmtId="0" fontId="31" fillId="0" borderId="43" xfId="0" applyFont="1" applyFill="1" applyBorder="1"/>
    <xf numFmtId="0" fontId="31" fillId="0" borderId="33" xfId="0" applyFont="1" applyFill="1" applyBorder="1"/>
    <xf numFmtId="0" fontId="31" fillId="0" borderId="34" xfId="0" applyFont="1" applyFill="1" applyBorder="1"/>
    <xf numFmtId="0" fontId="31" fillId="0" borderId="0" xfId="0" applyFont="1" applyFill="1" applyAlignment="1">
      <alignment wrapText="1"/>
    </xf>
    <xf numFmtId="167" fontId="31" fillId="0" borderId="0" xfId="0" applyNumberFormat="1" applyFont="1" applyFill="1" applyBorder="1"/>
    <xf numFmtId="166" fontId="31" fillId="0" borderId="32" xfId="0" applyNumberFormat="1" applyFont="1" applyFill="1" applyBorder="1"/>
    <xf numFmtId="0" fontId="28" fillId="0" borderId="0" xfId="0" applyFont="1"/>
    <xf numFmtId="0" fontId="39" fillId="0" borderId="0" xfId="5" applyFont="1" applyAlignment="1">
      <alignment horizontal="right"/>
    </xf>
    <xf numFmtId="0" fontId="40" fillId="0" borderId="0" xfId="0" applyFont="1" applyAlignment="1"/>
    <xf numFmtId="0" fontId="41" fillId="0" borderId="0" xfId="0" applyFont="1" applyAlignment="1">
      <alignment wrapText="1"/>
    </xf>
    <xf numFmtId="0" fontId="41" fillId="7" borderId="27" xfId="0" applyFont="1" applyFill="1" applyBorder="1" applyAlignment="1">
      <alignment vertical="top" wrapText="1"/>
    </xf>
    <xf numFmtId="0" fontId="41" fillId="8" borderId="27" xfId="0" applyFont="1" applyFill="1" applyBorder="1" applyAlignment="1">
      <alignment vertical="top" wrapText="1"/>
    </xf>
    <xf numFmtId="0" fontId="41" fillId="9" borderId="27" xfId="0" applyFont="1" applyFill="1" applyBorder="1" applyAlignment="1">
      <alignment vertical="top" wrapText="1"/>
    </xf>
    <xf numFmtId="0" fontId="41" fillId="10" borderId="16" xfId="0" applyFont="1" applyFill="1" applyBorder="1" applyAlignment="1">
      <alignment vertical="top" wrapText="1"/>
    </xf>
    <xf numFmtId="0" fontId="41" fillId="7" borderId="28" xfId="0" applyFont="1" applyFill="1" applyBorder="1" applyAlignment="1">
      <alignment wrapText="1"/>
    </xf>
    <xf numFmtId="0" fontId="41" fillId="8" borderId="28" xfId="0" applyFont="1" applyFill="1" applyBorder="1"/>
    <xf numFmtId="0" fontId="41" fillId="9" borderId="28" xfId="0" applyFont="1" applyFill="1" applyBorder="1"/>
    <xf numFmtId="0" fontId="41" fillId="10" borderId="29" xfId="0" applyFont="1" applyFill="1" applyBorder="1"/>
    <xf numFmtId="0" fontId="41" fillId="0" borderId="0" xfId="0" applyFont="1"/>
    <xf numFmtId="0" fontId="42" fillId="4" borderId="22" xfId="0" applyFont="1" applyFill="1" applyBorder="1" applyAlignment="1"/>
    <xf numFmtId="0" fontId="43" fillId="0" borderId="0" xfId="0" applyFont="1" applyAlignment="1">
      <alignment wrapText="1"/>
    </xf>
    <xf numFmtId="0" fontId="42" fillId="4" borderId="0" xfId="0" applyFont="1" applyFill="1" applyBorder="1" applyAlignment="1">
      <alignment wrapText="1"/>
    </xf>
    <xf numFmtId="0" fontId="42" fillId="4" borderId="26" xfId="0" applyFont="1" applyFill="1" applyBorder="1" applyAlignment="1">
      <alignment horizontal="left" wrapText="1"/>
    </xf>
    <xf numFmtId="0" fontId="42" fillId="0" borderId="0" xfId="0" applyFont="1" applyAlignment="1">
      <alignment horizontal="center" wrapText="1"/>
    </xf>
    <xf numFmtId="0" fontId="41" fillId="0" borderId="0" xfId="0" applyFont="1" applyBorder="1" applyAlignment="1">
      <alignment wrapText="1"/>
    </xf>
    <xf numFmtId="0" fontId="43" fillId="0" borderId="9" xfId="0" applyFont="1" applyFill="1" applyBorder="1" applyAlignment="1">
      <alignment wrapText="1"/>
    </xf>
    <xf numFmtId="5" fontId="41" fillId="6" borderId="10" xfId="2" applyNumberFormat="1" applyFont="1" applyFill="1" applyBorder="1" applyAlignment="1" applyProtection="1">
      <alignment horizontal="center" wrapText="1"/>
      <protection locked="0"/>
    </xf>
    <xf numFmtId="166" fontId="41" fillId="6" borderId="10" xfId="0" applyNumberFormat="1" applyFont="1" applyFill="1" applyBorder="1" applyAlignment="1" applyProtection="1">
      <alignment wrapText="1"/>
      <protection locked="0"/>
    </xf>
    <xf numFmtId="0" fontId="41" fillId="6" borderId="10" xfId="2" applyNumberFormat="1" applyFont="1" applyFill="1" applyBorder="1" applyAlignment="1" applyProtection="1">
      <alignment wrapText="1"/>
      <protection locked="0"/>
    </xf>
    <xf numFmtId="0" fontId="43" fillId="0" borderId="13" xfId="0" applyFont="1" applyFill="1" applyBorder="1" applyAlignment="1">
      <alignment horizontal="center" vertical="center" wrapText="1"/>
    </xf>
    <xf numFmtId="0" fontId="43" fillId="0" borderId="6" xfId="0" applyFont="1" applyFill="1" applyBorder="1" applyAlignment="1">
      <alignment wrapText="1"/>
    </xf>
    <xf numFmtId="165" fontId="41" fillId="6" borderId="8" xfId="3" applyNumberFormat="1" applyFont="1" applyFill="1" applyBorder="1" applyAlignment="1" applyProtection="1">
      <alignment wrapText="1"/>
      <protection locked="0"/>
    </xf>
    <xf numFmtId="166" fontId="41" fillId="6" borderId="10" xfId="2" applyNumberFormat="1" applyFont="1" applyFill="1" applyBorder="1" applyAlignment="1" applyProtection="1">
      <alignment wrapText="1"/>
      <protection locked="0"/>
    </xf>
    <xf numFmtId="167" fontId="41" fillId="6" borderId="10" xfId="3" applyNumberFormat="1" applyFont="1" applyFill="1" applyBorder="1" applyAlignment="1" applyProtection="1">
      <alignment horizontal="center" wrapText="1"/>
      <protection locked="0"/>
    </xf>
    <xf numFmtId="167" fontId="41" fillId="6" borderId="10" xfId="3" applyNumberFormat="1" applyFont="1" applyFill="1" applyBorder="1" applyAlignment="1" applyProtection="1">
      <alignment wrapText="1"/>
      <protection locked="0"/>
    </xf>
    <xf numFmtId="0" fontId="41" fillId="6" borderId="10" xfId="3" applyNumberFormat="1" applyFont="1" applyFill="1" applyBorder="1" applyAlignment="1" applyProtection="1">
      <alignment horizontal="center" wrapText="1"/>
      <protection locked="0"/>
    </xf>
    <xf numFmtId="166" fontId="41" fillId="0" borderId="27" xfId="0" applyNumberFormat="1" applyFont="1" applyFill="1" applyBorder="1" applyAlignment="1">
      <alignment wrapText="1"/>
    </xf>
    <xf numFmtId="166" fontId="41" fillId="0" borderId="27" xfId="0" applyNumberFormat="1" applyFont="1" applyFill="1" applyBorder="1"/>
    <xf numFmtId="0" fontId="41" fillId="0" borderId="9" xfId="0" applyFont="1" applyFill="1" applyBorder="1" applyAlignment="1">
      <alignment wrapText="1"/>
    </xf>
    <xf numFmtId="0" fontId="41" fillId="0" borderId="6" xfId="0" applyFont="1" applyFill="1" applyBorder="1" applyAlignment="1">
      <alignment wrapText="1"/>
    </xf>
    <xf numFmtId="0" fontId="33" fillId="6" borderId="30" xfId="0" applyFont="1" applyFill="1" applyBorder="1" applyAlignment="1"/>
    <xf numFmtId="0" fontId="33" fillId="6" borderId="31" xfId="0" applyFont="1" applyFill="1" applyBorder="1" applyAlignment="1"/>
    <xf numFmtId="0" fontId="33" fillId="6" borderId="0" xfId="0" applyFont="1" applyFill="1" applyBorder="1" applyAlignment="1"/>
    <xf numFmtId="0" fontId="33" fillId="6" borderId="32" xfId="0" applyFont="1" applyFill="1" applyBorder="1" applyAlignment="1"/>
    <xf numFmtId="0" fontId="36" fillId="6" borderId="0" xfId="0" applyFont="1" applyFill="1" applyBorder="1" applyAlignment="1"/>
    <xf numFmtId="43" fontId="36" fillId="6" borderId="0" xfId="1" applyFont="1" applyFill="1" applyBorder="1" applyAlignment="1">
      <alignment vertical="center"/>
    </xf>
    <xf numFmtId="43" fontId="36" fillId="6" borderId="32" xfId="1" applyFont="1" applyFill="1" applyBorder="1" applyAlignment="1">
      <alignment vertical="center"/>
    </xf>
    <xf numFmtId="43" fontId="33" fillId="6" borderId="0" xfId="1" applyFont="1" applyFill="1" applyBorder="1" applyAlignment="1">
      <alignment vertical="center"/>
    </xf>
    <xf numFmtId="43" fontId="33" fillId="6" borderId="32" xfId="1" applyFont="1" applyFill="1" applyBorder="1" applyAlignment="1">
      <alignment vertical="center"/>
    </xf>
    <xf numFmtId="0" fontId="33" fillId="6" borderId="33" xfId="0" applyFont="1" applyFill="1" applyBorder="1" applyAlignment="1"/>
    <xf numFmtId="0" fontId="33" fillId="6" borderId="34" xfId="0" applyFont="1" applyFill="1" applyBorder="1" applyAlignment="1"/>
    <xf numFmtId="166" fontId="41" fillId="6" borderId="10" xfId="0" applyNumberFormat="1" applyFont="1" applyFill="1" applyBorder="1" applyAlignment="1">
      <alignment wrapText="1"/>
    </xf>
    <xf numFmtId="0" fontId="41" fillId="11" borderId="14" xfId="0" applyFont="1" applyFill="1" applyBorder="1"/>
    <xf numFmtId="0" fontId="41" fillId="6" borderId="27" xfId="0" applyFont="1" applyFill="1" applyBorder="1" applyAlignment="1">
      <alignment vertical="top" wrapText="1"/>
    </xf>
    <xf numFmtId="5" fontId="44" fillId="11" borderId="10" xfId="2" applyNumberFormat="1" applyFont="1" applyFill="1" applyBorder="1" applyAlignment="1" applyProtection="1">
      <alignment horizontal="center" wrapText="1"/>
    </xf>
    <xf numFmtId="9" fontId="44" fillId="11" borderId="10" xfId="3" applyNumberFormat="1" applyFont="1" applyFill="1" applyBorder="1" applyAlignment="1" applyProtection="1">
      <alignment horizontal="center" wrapText="1"/>
    </xf>
    <xf numFmtId="166" fontId="44" fillId="11" borderId="10" xfId="0" applyNumberFormat="1" applyFont="1" applyFill="1" applyBorder="1" applyAlignment="1">
      <alignment wrapText="1"/>
    </xf>
    <xf numFmtId="0" fontId="8" fillId="7" borderId="0" xfId="0" applyFont="1" applyFill="1" applyAlignment="1">
      <alignment wrapText="1"/>
    </xf>
    <xf numFmtId="0" fontId="8" fillId="7" borderId="0" xfId="0" applyFont="1" applyFill="1"/>
    <xf numFmtId="0" fontId="0" fillId="8" borderId="0" xfId="0" applyFill="1" applyAlignment="1">
      <alignment wrapText="1"/>
    </xf>
    <xf numFmtId="0" fontId="0" fillId="8" borderId="0" xfId="0" applyFill="1"/>
    <xf numFmtId="0" fontId="0" fillId="9" borderId="0" xfId="0" applyFill="1" applyAlignment="1">
      <alignment wrapText="1"/>
    </xf>
    <xf numFmtId="0" fontId="0" fillId="9" borderId="0" xfId="0" applyFill="1"/>
    <xf numFmtId="0" fontId="15" fillId="6" borderId="4" xfId="4" applyFont="1" applyFill="1" applyBorder="1" applyAlignment="1" applyProtection="1">
      <alignment wrapText="1"/>
    </xf>
    <xf numFmtId="0" fontId="14" fillId="6" borderId="0" xfId="4" applyFont="1" applyFill="1" applyBorder="1" applyAlignment="1" applyProtection="1">
      <alignment wrapText="1"/>
    </xf>
    <xf numFmtId="0" fontId="13" fillId="6" borderId="0" xfId="4" applyFill="1" applyBorder="1" applyAlignment="1">
      <alignment wrapText="1"/>
    </xf>
    <xf numFmtId="5" fontId="14" fillId="6" borderId="0" xfId="4" applyNumberFormat="1" applyFont="1" applyFill="1" applyBorder="1" applyAlignment="1" applyProtection="1">
      <alignment wrapText="1"/>
    </xf>
    <xf numFmtId="9" fontId="15" fillId="6" borderId="0" xfId="4" applyNumberFormat="1" applyFont="1" applyFill="1" applyBorder="1" applyAlignment="1" applyProtection="1">
      <alignment wrapText="1"/>
    </xf>
    <xf numFmtId="5" fontId="15" fillId="6" borderId="0" xfId="4" applyNumberFormat="1" applyFont="1" applyFill="1" applyBorder="1" applyAlignment="1" applyProtection="1">
      <alignment wrapText="1"/>
    </xf>
    <xf numFmtId="0" fontId="15" fillId="6" borderId="0" xfId="4" applyFont="1" applyFill="1" applyBorder="1" applyAlignment="1" applyProtection="1">
      <alignment wrapText="1"/>
    </xf>
    <xf numFmtId="5" fontId="17" fillId="6" borderId="0" xfId="4" applyNumberFormat="1" applyFont="1" applyFill="1" applyBorder="1" applyAlignment="1" applyProtection="1">
      <alignment wrapText="1"/>
    </xf>
    <xf numFmtId="0" fontId="13" fillId="6" borderId="0" xfId="4" applyFont="1" applyFill="1" applyBorder="1" applyAlignment="1">
      <alignment wrapText="1"/>
    </xf>
    <xf numFmtId="168" fontId="17" fillId="6" borderId="0" xfId="4" applyNumberFormat="1" applyFont="1" applyFill="1" applyBorder="1" applyAlignment="1" applyProtection="1">
      <alignment wrapText="1"/>
    </xf>
    <xf numFmtId="9" fontId="17" fillId="6" borderId="0" xfId="4" applyNumberFormat="1" applyFont="1" applyFill="1" applyBorder="1" applyAlignment="1" applyProtection="1">
      <alignment wrapText="1"/>
      <protection locked="0"/>
    </xf>
    <xf numFmtId="9" fontId="17" fillId="6" borderId="0" xfId="4" quotePrefix="1" applyNumberFormat="1" applyFont="1" applyFill="1" applyBorder="1" applyAlignment="1">
      <alignment wrapText="1"/>
    </xf>
    <xf numFmtId="0" fontId="15" fillId="6" borderId="0" xfId="4" applyFont="1" applyFill="1" applyBorder="1" applyAlignment="1">
      <alignment wrapText="1"/>
    </xf>
    <xf numFmtId="166" fontId="0" fillId="6" borderId="0" xfId="0" applyNumberFormat="1" applyFill="1" applyBorder="1" applyAlignment="1">
      <alignment wrapText="1"/>
    </xf>
    <xf numFmtId="0" fontId="0" fillId="6" borderId="0" xfId="0" applyFill="1" applyBorder="1" applyAlignment="1">
      <alignment wrapText="1"/>
    </xf>
    <xf numFmtId="44" fontId="0" fillId="6" borderId="0" xfId="0" applyNumberFormat="1" applyFill="1" applyBorder="1" applyAlignment="1" applyProtection="1">
      <alignment wrapText="1"/>
    </xf>
    <xf numFmtId="165" fontId="0" fillId="6" borderId="0" xfId="0" applyNumberFormat="1" applyFill="1" applyBorder="1" applyAlignment="1" applyProtection="1">
      <alignment wrapText="1"/>
    </xf>
    <xf numFmtId="164" fontId="0" fillId="6" borderId="0" xfId="0" applyNumberFormat="1" applyFill="1" applyBorder="1" applyAlignment="1" applyProtection="1">
      <alignment wrapText="1"/>
    </xf>
    <xf numFmtId="44" fontId="0" fillId="6" borderId="0" xfId="0" applyNumberFormat="1" applyFill="1" applyBorder="1" applyAlignment="1">
      <alignment wrapText="1"/>
    </xf>
    <xf numFmtId="44" fontId="0" fillId="6" borderId="0" xfId="2" applyNumberFormat="1" applyFont="1" applyFill="1" applyBorder="1" applyAlignment="1">
      <alignment wrapText="1"/>
    </xf>
    <xf numFmtId="0" fontId="0" fillId="0" borderId="4" xfId="0" applyFill="1" applyBorder="1" applyAlignment="1">
      <alignment wrapText="1"/>
    </xf>
    <xf numFmtId="0" fontId="0" fillId="0" borderId="4" xfId="0" applyFill="1" applyBorder="1" applyAlignment="1">
      <alignment horizontal="right" wrapText="1"/>
    </xf>
    <xf numFmtId="0" fontId="0" fillId="0" borderId="6" xfId="0" applyFill="1" applyBorder="1" applyAlignment="1">
      <alignment horizontal="right" wrapText="1"/>
    </xf>
    <xf numFmtId="0" fontId="0" fillId="0" borderId="0" xfId="0" applyFill="1" applyBorder="1" applyAlignment="1">
      <alignment wrapText="1"/>
    </xf>
    <xf numFmtId="0" fontId="0" fillId="0" borderId="5" xfId="0" applyFill="1" applyBorder="1" applyAlignment="1">
      <alignment wrapText="1"/>
    </xf>
    <xf numFmtId="43" fontId="0" fillId="0" borderId="5" xfId="1" applyFont="1" applyFill="1" applyBorder="1" applyAlignment="1">
      <alignment wrapText="1"/>
    </xf>
    <xf numFmtId="44" fontId="0" fillId="0" borderId="5" xfId="2" applyFont="1" applyFill="1" applyBorder="1" applyAlignment="1">
      <alignment wrapText="1"/>
    </xf>
    <xf numFmtId="0" fontId="0" fillId="0" borderId="8" xfId="0" applyFill="1" applyBorder="1" applyAlignment="1">
      <alignment wrapText="1"/>
    </xf>
    <xf numFmtId="0" fontId="48" fillId="12" borderId="0" xfId="0" applyFont="1" applyFill="1"/>
    <xf numFmtId="166" fontId="47" fillId="12" borderId="44" xfId="2" applyNumberFormat="1" applyFont="1" applyFill="1" applyBorder="1"/>
    <xf numFmtId="8" fontId="49" fillId="12" borderId="44" xfId="0" applyNumberFormat="1" applyFont="1" applyFill="1" applyBorder="1"/>
    <xf numFmtId="9" fontId="47" fillId="12" borderId="44" xfId="0" applyNumberFormat="1" applyFont="1" applyFill="1" applyBorder="1" applyAlignment="1">
      <alignment horizontal="center"/>
    </xf>
    <xf numFmtId="2" fontId="47" fillId="12" borderId="44" xfId="0" applyNumberFormat="1" applyFont="1" applyFill="1" applyBorder="1" applyAlignment="1">
      <alignment horizontal="center"/>
    </xf>
    <xf numFmtId="0" fontId="0" fillId="0" borderId="0" xfId="0" applyAlignment="1">
      <alignment horizontal="center"/>
    </xf>
    <xf numFmtId="0" fontId="47" fillId="12" borderId="45" xfId="0" applyFont="1" applyFill="1" applyBorder="1" applyAlignment="1"/>
    <xf numFmtId="0" fontId="47" fillId="12" borderId="46" xfId="0" applyFont="1" applyFill="1" applyBorder="1" applyAlignment="1"/>
    <xf numFmtId="8" fontId="49" fillId="12" borderId="44" xfId="0" applyNumberFormat="1" applyFont="1" applyFill="1" applyBorder="1" applyAlignment="1">
      <alignment wrapText="1"/>
    </xf>
    <xf numFmtId="166" fontId="20" fillId="5" borderId="7" xfId="3" applyNumberFormat="1" applyFont="1" applyFill="1" applyBorder="1" applyAlignment="1">
      <alignment wrapText="1"/>
    </xf>
    <xf numFmtId="0" fontId="0" fillId="0" borderId="0" xfId="0" applyAlignment="1">
      <alignment wrapText="1"/>
    </xf>
    <xf numFmtId="0" fontId="11" fillId="0" borderId="0" xfId="0" applyFont="1" applyBorder="1" applyAlignment="1">
      <alignment horizontal="center" wrapText="1"/>
    </xf>
    <xf numFmtId="0" fontId="9" fillId="0" borderId="25" xfId="0" applyFont="1" applyBorder="1" applyAlignment="1">
      <alignment horizontal="center" wrapText="1"/>
    </xf>
    <xf numFmtId="0" fontId="0" fillId="0" borderId="0" xfId="0" applyAlignment="1">
      <alignment horizontal="left" vertical="top" wrapText="1"/>
    </xf>
    <xf numFmtId="0" fontId="0" fillId="0" borderId="0" xfId="0" applyBorder="1" applyAlignment="1">
      <alignment horizontal="left" vertical="top" wrapText="1"/>
    </xf>
    <xf numFmtId="0" fontId="41" fillId="0" borderId="2" xfId="0" applyFont="1" applyBorder="1" applyAlignment="1">
      <alignment horizontal="left" vertical="top" wrapText="1"/>
    </xf>
    <xf numFmtId="0" fontId="41" fillId="0" borderId="0" xfId="0" applyFont="1" applyBorder="1" applyAlignment="1">
      <alignment horizontal="left" vertical="top" wrapText="1"/>
    </xf>
    <xf numFmtId="169" fontId="37" fillId="6" borderId="35" xfId="2" applyNumberFormat="1" applyFont="1" applyFill="1" applyBorder="1" applyAlignment="1">
      <alignment horizontal="center" vertical="center"/>
    </xf>
    <xf numFmtId="169" fontId="37" fillId="6" borderId="0" xfId="2" applyNumberFormat="1" applyFont="1" applyFill="1" applyBorder="1" applyAlignment="1">
      <alignment horizontal="center" vertical="center"/>
    </xf>
    <xf numFmtId="169" fontId="37" fillId="6" borderId="32" xfId="2" applyNumberFormat="1" applyFont="1" applyFill="1" applyBorder="1" applyAlignment="1">
      <alignment horizontal="center" vertical="center"/>
    </xf>
    <xf numFmtId="0" fontId="28" fillId="0" borderId="14" xfId="0" applyFont="1" applyBorder="1" applyAlignment="1">
      <alignment horizontal="center" wrapText="1"/>
    </xf>
    <xf numFmtId="0" fontId="28" fillId="0" borderId="15" xfId="0" applyFont="1" applyBorder="1" applyAlignment="1">
      <alignment horizontal="center" wrapText="1"/>
    </xf>
    <xf numFmtId="0" fontId="31" fillId="0" borderId="35" xfId="0" applyFont="1" applyFill="1" applyBorder="1" applyAlignment="1">
      <alignment horizontal="left"/>
    </xf>
    <xf numFmtId="0" fontId="31" fillId="0" borderId="0" xfId="0" applyFont="1" applyFill="1" applyBorder="1" applyAlignment="1">
      <alignment horizontal="left"/>
    </xf>
    <xf numFmtId="0" fontId="31" fillId="0" borderId="32" xfId="0" applyFont="1" applyFill="1" applyBorder="1" applyAlignment="1">
      <alignment horizontal="left"/>
    </xf>
    <xf numFmtId="0" fontId="38" fillId="0" borderId="43" xfId="0" applyFont="1" applyFill="1" applyBorder="1" applyAlignment="1">
      <alignment horizontal="left"/>
    </xf>
    <xf numFmtId="0" fontId="31" fillId="0" borderId="33" xfId="0" applyFont="1" applyFill="1" applyBorder="1" applyAlignment="1">
      <alignment horizontal="left"/>
    </xf>
    <xf numFmtId="0" fontId="31" fillId="0" borderId="34" xfId="0" applyFont="1" applyFill="1" applyBorder="1" applyAlignment="1">
      <alignment horizontal="left"/>
    </xf>
    <xf numFmtId="0" fontId="28" fillId="0" borderId="30" xfId="0" applyFont="1" applyFill="1" applyBorder="1" applyAlignment="1">
      <alignment horizontal="center" wrapText="1"/>
    </xf>
    <xf numFmtId="166" fontId="34" fillId="0" borderId="35" xfId="0" applyNumberFormat="1" applyFont="1" applyFill="1" applyBorder="1" applyAlignment="1">
      <alignment horizontal="center"/>
    </xf>
    <xf numFmtId="0" fontId="34" fillId="0" borderId="35" xfId="0" applyFont="1" applyFill="1" applyBorder="1" applyAlignment="1">
      <alignment horizontal="center"/>
    </xf>
    <xf numFmtId="166" fontId="34" fillId="0" borderId="0" xfId="0" applyNumberFormat="1" applyFont="1" applyFill="1" applyBorder="1" applyAlignment="1">
      <alignment horizontal="center"/>
    </xf>
    <xf numFmtId="0" fontId="34" fillId="0" borderId="0" xfId="0" applyFont="1" applyFill="1" applyBorder="1" applyAlignment="1">
      <alignment horizontal="center"/>
    </xf>
    <xf numFmtId="2" fontId="34" fillId="0" borderId="0" xfId="0" applyNumberFormat="1" applyFont="1" applyFill="1" applyBorder="1" applyAlignment="1">
      <alignment horizontal="center"/>
    </xf>
    <xf numFmtId="168" fontId="34" fillId="0" borderId="32" xfId="0" applyNumberFormat="1" applyFont="1" applyFill="1" applyBorder="1" applyAlignment="1">
      <alignment horizontal="center"/>
    </xf>
    <xf numFmtId="0" fontId="34" fillId="0" borderId="32" xfId="0" applyFont="1" applyFill="1" applyBorder="1" applyAlignment="1">
      <alignment horizontal="center"/>
    </xf>
    <xf numFmtId="166" fontId="34" fillId="0" borderId="35" xfId="2" applyNumberFormat="1" applyFont="1" applyFill="1" applyBorder="1" applyAlignment="1">
      <alignment horizontal="center"/>
    </xf>
    <xf numFmtId="9" fontId="34" fillId="0" borderId="0" xfId="0" applyNumberFormat="1" applyFont="1" applyFill="1" applyBorder="1" applyAlignment="1">
      <alignment horizontal="center"/>
    </xf>
    <xf numFmtId="5" fontId="34" fillId="0" borderId="32" xfId="0" applyNumberFormat="1" applyFont="1" applyFill="1" applyBorder="1" applyAlignment="1">
      <alignment horizontal="center"/>
    </xf>
    <xf numFmtId="0" fontId="29" fillId="0" borderId="0" xfId="0" applyFont="1" applyAlignment="1">
      <alignment horizontal="center"/>
    </xf>
    <xf numFmtId="0" fontId="41" fillId="6" borderId="11" xfId="0" applyFont="1" applyFill="1" applyBorder="1" applyAlignment="1">
      <alignment horizontal="center" vertical="center" wrapText="1"/>
    </xf>
    <xf numFmtId="0" fontId="41" fillId="6" borderId="12" xfId="0" applyFont="1" applyFill="1" applyBorder="1" applyAlignment="1">
      <alignment horizontal="center" vertical="center" wrapText="1"/>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44" fontId="35" fillId="6" borderId="35" xfId="0" applyNumberFormat="1" applyFont="1" applyFill="1" applyBorder="1" applyAlignment="1">
      <alignment horizontal="center"/>
    </xf>
    <xf numFmtId="44" fontId="35" fillId="6" borderId="0" xfId="0" applyNumberFormat="1" applyFont="1" applyFill="1" applyBorder="1" applyAlignment="1">
      <alignment horizontal="center"/>
    </xf>
    <xf numFmtId="44" fontId="35" fillId="6" borderId="32" xfId="0" applyNumberFormat="1" applyFont="1" applyFill="1" applyBorder="1" applyAlignment="1">
      <alignment horizontal="center"/>
    </xf>
    <xf numFmtId="0" fontId="45" fillId="0" borderId="0" xfId="0" applyFont="1" applyBorder="1" applyAlignment="1">
      <alignment horizontal="center" wrapText="1"/>
    </xf>
    <xf numFmtId="0" fontId="46" fillId="0" borderId="25" xfId="0" applyFont="1" applyBorder="1" applyAlignment="1">
      <alignment horizontal="center" wrapText="1"/>
    </xf>
    <xf numFmtId="0" fontId="27" fillId="0" borderId="38" xfId="5" applyFont="1" applyBorder="1" applyAlignment="1">
      <alignment horizontal="center"/>
    </xf>
    <xf numFmtId="0" fontId="27" fillId="0" borderId="26" xfId="5" applyFont="1" applyBorder="1" applyAlignment="1">
      <alignment horizontal="center"/>
    </xf>
    <xf numFmtId="0" fontId="27" fillId="0" borderId="39" xfId="5" applyFont="1" applyBorder="1" applyAlignment="1">
      <alignment horizontal="center"/>
    </xf>
    <xf numFmtId="0" fontId="22" fillId="0" borderId="28" xfId="0" applyFont="1" applyBorder="1" applyAlignment="1">
      <alignment horizontal="center"/>
    </xf>
    <xf numFmtId="0" fontId="22" fillId="0" borderId="0" xfId="0" applyFont="1" applyBorder="1" applyAlignment="1">
      <alignment horizontal="center"/>
    </xf>
    <xf numFmtId="0" fontId="22" fillId="0" borderId="40" xfId="0" applyFont="1" applyBorder="1" applyAlignment="1">
      <alignment horizontal="center"/>
    </xf>
    <xf numFmtId="0" fontId="22" fillId="0" borderId="38" xfId="0" applyFont="1" applyBorder="1" applyAlignment="1">
      <alignment horizontal="center"/>
    </xf>
    <xf numFmtId="0" fontId="22" fillId="0" borderId="26" xfId="0" applyFont="1" applyBorder="1" applyAlignment="1">
      <alignment horizontal="center"/>
    </xf>
    <xf numFmtId="0" fontId="22" fillId="0" borderId="39" xfId="0" applyFont="1" applyBorder="1" applyAlignment="1">
      <alignment horizontal="center"/>
    </xf>
    <xf numFmtId="0" fontId="23" fillId="0" borderId="28" xfId="0" applyFont="1" applyBorder="1" applyAlignment="1">
      <alignment horizontal="center"/>
    </xf>
    <xf numFmtId="0" fontId="23" fillId="0" borderId="0" xfId="0" applyFont="1" applyBorder="1" applyAlignment="1">
      <alignment horizontal="center"/>
    </xf>
    <xf numFmtId="0" fontId="23" fillId="0" borderId="40" xfId="0" applyFont="1" applyBorder="1" applyAlignment="1">
      <alignment horizontal="center"/>
    </xf>
    <xf numFmtId="0" fontId="18" fillId="0" borderId="0" xfId="5" applyAlignment="1">
      <alignment horizontal="left"/>
    </xf>
    <xf numFmtId="0" fontId="0" fillId="0" borderId="0" xfId="0" applyAlignment="1">
      <alignment horizontal="right" wrapText="1"/>
    </xf>
    <xf numFmtId="0" fontId="0" fillId="0" borderId="0" xfId="0" applyAlignment="1">
      <alignment wrapText="1"/>
    </xf>
    <xf numFmtId="0" fontId="16" fillId="6" borderId="0" xfId="4" quotePrefix="1" applyFont="1" applyFill="1" applyBorder="1" applyAlignment="1" applyProtection="1">
      <alignment wrapText="1"/>
    </xf>
    <xf numFmtId="0" fontId="0" fillId="6" borderId="0" xfId="0" applyFill="1" applyBorder="1" applyAlignment="1">
      <alignment wrapText="1"/>
    </xf>
    <xf numFmtId="0" fontId="21" fillId="0" borderId="4" xfId="0" applyFont="1" applyBorder="1" applyAlignment="1">
      <alignment wrapText="1"/>
    </xf>
    <xf numFmtId="0" fontId="0" fillId="0" borderId="0" xfId="0" applyBorder="1" applyAlignment="1">
      <alignment wrapText="1"/>
    </xf>
    <xf numFmtId="0" fontId="15" fillId="6" borderId="4" xfId="4" applyFont="1" applyFill="1" applyBorder="1" applyAlignment="1">
      <alignment wrapText="1"/>
    </xf>
    <xf numFmtId="0" fontId="16" fillId="6" borderId="4" xfId="4" applyFont="1" applyFill="1" applyBorder="1" applyAlignment="1" applyProtection="1">
      <alignment wrapText="1"/>
    </xf>
    <xf numFmtId="0" fontId="16" fillId="6" borderId="0" xfId="4" applyFont="1" applyFill="1" applyBorder="1" applyAlignment="1" applyProtection="1">
      <alignment wrapText="1"/>
    </xf>
    <xf numFmtId="0" fontId="0" fillId="0" borderId="0" xfId="0" applyAlignment="1">
      <alignment horizontal="center" vertical="center" wrapText="1"/>
    </xf>
    <xf numFmtId="0" fontId="0" fillId="0" borderId="0" xfId="0" applyAlignment="1">
      <alignment horizontal="left" wrapText="1"/>
    </xf>
    <xf numFmtId="0" fontId="7" fillId="3" borderId="1" xfId="0" applyFont="1" applyFill="1" applyBorder="1" applyAlignment="1">
      <alignment horizontal="center" wrapText="1"/>
    </xf>
    <xf numFmtId="0" fontId="6" fillId="3" borderId="2" xfId="0" applyFont="1" applyFill="1" applyBorder="1" applyAlignment="1">
      <alignment wrapText="1"/>
    </xf>
    <xf numFmtId="0" fontId="6" fillId="3" borderId="3" xfId="0" applyFont="1" applyFill="1" applyBorder="1" applyAlignment="1">
      <alignment wrapText="1"/>
    </xf>
    <xf numFmtId="0" fontId="3" fillId="10" borderId="0" xfId="0" applyFont="1" applyFill="1" applyBorder="1" applyAlignment="1">
      <alignment horizontal="center" wrapText="1"/>
    </xf>
    <xf numFmtId="0" fontId="2" fillId="3" borderId="2" xfId="0" applyFont="1" applyFill="1" applyBorder="1" applyAlignment="1">
      <alignment horizontal="center" wrapText="1"/>
    </xf>
    <xf numFmtId="166" fontId="0" fillId="3" borderId="4" xfId="0" applyNumberFormat="1" applyFont="1" applyFill="1" applyBorder="1" applyAlignment="1">
      <alignment horizontal="left" wrapText="1"/>
    </xf>
    <xf numFmtId="166" fontId="0" fillId="3" borderId="0" xfId="0" applyNumberFormat="1" applyFont="1" applyFill="1" applyBorder="1" applyAlignment="1">
      <alignment horizontal="left" wrapText="1"/>
    </xf>
    <xf numFmtId="166" fontId="0" fillId="3" borderId="5" xfId="0" applyNumberFormat="1" applyFont="1" applyFill="1" applyBorder="1" applyAlignment="1">
      <alignment horizontal="left" wrapText="1"/>
    </xf>
    <xf numFmtId="166" fontId="0" fillId="3" borderId="4" xfId="0" applyNumberFormat="1" applyFill="1" applyBorder="1" applyAlignment="1">
      <alignment horizontal="left" wrapText="1"/>
    </xf>
    <xf numFmtId="166" fontId="0" fillId="3" borderId="0" xfId="0" applyNumberFormat="1" applyFill="1" applyBorder="1" applyAlignment="1">
      <alignment horizontal="left" wrapText="1"/>
    </xf>
    <xf numFmtId="166" fontId="0" fillId="3" borderId="5" xfId="0" applyNumberFormat="1" applyFill="1" applyBorder="1" applyAlignment="1">
      <alignment horizontal="left" wrapText="1"/>
    </xf>
    <xf numFmtId="166" fontId="0" fillId="3" borderId="4" xfId="0" applyNumberFormat="1" applyFont="1" applyFill="1" applyBorder="1" applyAlignment="1">
      <alignment horizontal="left" vertical="top" wrapText="1"/>
    </xf>
    <xf numFmtId="166" fontId="0" fillId="3" borderId="0" xfId="0" applyNumberFormat="1" applyFont="1" applyFill="1" applyBorder="1" applyAlignment="1">
      <alignment horizontal="left" vertical="top" wrapText="1"/>
    </xf>
    <xf numFmtId="166" fontId="0" fillId="3" borderId="5" xfId="0" applyNumberFormat="1" applyFont="1" applyFill="1" applyBorder="1" applyAlignment="1">
      <alignment horizontal="left" vertical="top" wrapText="1"/>
    </xf>
    <xf numFmtId="0" fontId="3" fillId="9" borderId="7" xfId="0" applyFont="1" applyFill="1" applyBorder="1" applyAlignment="1">
      <alignment horizontal="center" wrapText="1"/>
    </xf>
    <xf numFmtId="0" fontId="19" fillId="5" borderId="3" xfId="0" applyFont="1" applyFill="1" applyBorder="1" applyAlignment="1">
      <alignment horizontal="left" wrapText="1"/>
    </xf>
    <xf numFmtId="0" fontId="19" fillId="5" borderId="5" xfId="0" applyFont="1" applyFill="1" applyBorder="1" applyAlignment="1">
      <alignment horizontal="left" wrapText="1"/>
    </xf>
    <xf numFmtId="0" fontId="19" fillId="5" borderId="36" xfId="0" applyFont="1" applyFill="1" applyBorder="1" applyAlignment="1">
      <alignment horizontal="left" wrapText="1"/>
    </xf>
    <xf numFmtId="0" fontId="19" fillId="5" borderId="37" xfId="0" applyFont="1" applyFill="1" applyBorder="1" applyAlignment="1">
      <alignment horizontal="left" wrapText="1"/>
    </xf>
    <xf numFmtId="0" fontId="0" fillId="10" borderId="0" xfId="0" applyFill="1" applyAlignment="1">
      <alignment horizontal="center"/>
    </xf>
    <xf numFmtId="0" fontId="16" fillId="7" borderId="7" xfId="0" applyFont="1" applyFill="1" applyBorder="1" applyAlignment="1">
      <alignment horizontal="center" wrapText="1"/>
    </xf>
    <xf numFmtId="0" fontId="3" fillId="8" borderId="7" xfId="0" applyFont="1" applyFill="1" applyBorder="1" applyAlignment="1">
      <alignment horizontal="center" wrapText="1"/>
    </xf>
    <xf numFmtId="0" fontId="8" fillId="7" borderId="0" xfId="0" applyFont="1" applyFill="1" applyAlignment="1">
      <alignment horizontal="center"/>
    </xf>
    <xf numFmtId="0" fontId="8" fillId="8" borderId="0" xfId="0" applyFont="1" applyFill="1" applyAlignment="1">
      <alignment horizontal="center"/>
    </xf>
    <xf numFmtId="0" fontId="0" fillId="9" borderId="0" xfId="0" applyFill="1" applyAlignment="1">
      <alignment horizontal="center"/>
    </xf>
    <xf numFmtId="0" fontId="47" fillId="12" borderId="45" xfId="0" applyFont="1" applyFill="1" applyBorder="1" applyAlignment="1">
      <alignment horizontal="left"/>
    </xf>
    <xf numFmtId="0" fontId="47" fillId="12" borderId="46" xfId="0" applyFont="1" applyFill="1" applyBorder="1" applyAlignment="1">
      <alignment horizontal="left"/>
    </xf>
    <xf numFmtId="0" fontId="47" fillId="12" borderId="44" xfId="0" applyFont="1" applyFill="1" applyBorder="1" applyAlignment="1">
      <alignment horizontal="center"/>
    </xf>
    <xf numFmtId="0" fontId="2" fillId="0" borderId="0" xfId="0" applyFont="1" applyAlignment="1">
      <alignment horizontal="left" vertical="top" wrapText="1"/>
    </xf>
    <xf numFmtId="0" fontId="2" fillId="0" borderId="0" xfId="0" applyFont="1" applyAlignment="1">
      <alignment vertical="top"/>
    </xf>
  </cellXfs>
  <cellStyles count="6">
    <cellStyle name="Comma" xfId="1" builtinId="3"/>
    <cellStyle name="Currency" xfId="2" builtinId="4"/>
    <cellStyle name="Hyperlink" xfId="5" builtinId="8"/>
    <cellStyle name="Normal" xfId="0" builtinId="0"/>
    <cellStyle name="Normal 2" xfId="4"/>
    <cellStyle name="Percent" xfId="3" builtinId="5"/>
  </cellStyles>
  <dxfs count="0"/>
  <tableStyles count="0" defaultTableStyle="TableStyleMedium2" defaultPivotStyle="PivotStyleLight16"/>
  <colors>
    <mruColors>
      <color rgb="FFB4D6F1"/>
      <color rgb="FF8DC63F"/>
      <color rgb="FFEDB71E"/>
      <color rgb="FFE4781D"/>
      <color rgb="FFA2B274"/>
      <color rgb="FF0067B0"/>
      <color rgb="FFAC9766"/>
      <color rgb="FFE28050"/>
      <color rgb="FFD5BA5B"/>
      <color rgb="FF0046A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t>Loan, Immediate Action</a:t>
            </a:r>
          </a:p>
        </c:rich>
      </c:tx>
      <c:layout/>
      <c:overlay val="1"/>
    </c:title>
    <c:autoTitleDeleted val="0"/>
    <c:plotArea>
      <c:layout>
        <c:manualLayout>
          <c:layoutTarget val="inner"/>
          <c:xMode val="edge"/>
          <c:yMode val="edge"/>
          <c:x val="0.153051949607934"/>
          <c:y val="0.12445484148937451"/>
          <c:w val="0.81857926182665752"/>
          <c:h val="0.82964327581138564"/>
        </c:manualLayout>
      </c:layout>
      <c:barChart>
        <c:barDir val="col"/>
        <c:grouping val="clustered"/>
        <c:varyColors val="0"/>
        <c:ser>
          <c:idx val="1"/>
          <c:order val="0"/>
          <c:spPr>
            <a:solidFill>
              <a:srgbClr val="E4781D"/>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Cashflows!$G$3:$G$18</c:f>
              <c:numCache>
                <c:formatCode>_("$"* #,##0_);_("$"* \(#,##0\);_("$"* "-"??_);_(@_)</c:formatCode>
                <c:ptCount val="16"/>
                <c:pt idx="0">
                  <c:v>-460000</c:v>
                </c:pt>
                <c:pt idx="1">
                  <c:v>-453901.06975106068</c:v>
                </c:pt>
                <c:pt idx="2">
                  <c:v>-460367.86975106073</c:v>
                </c:pt>
                <c:pt idx="3">
                  <c:v>-466964.00575106067</c:v>
                </c:pt>
                <c:pt idx="4">
                  <c:v>-473692.06447106064</c:v>
                </c:pt>
                <c:pt idx="5">
                  <c:v>-480554.68436546065</c:v>
                </c:pt>
                <c:pt idx="6">
                  <c:v>-487554.55665774865</c:v>
                </c:pt>
                <c:pt idx="7">
                  <c:v>-364133.35664482176</c:v>
                </c:pt>
                <c:pt idx="8">
                  <c:v>-371416.02377771819</c:v>
                </c:pt>
                <c:pt idx="9">
                  <c:v>-378844.34425327263</c:v>
                </c:pt>
                <c:pt idx="10">
                  <c:v>-386421.2311383381</c:v>
                </c:pt>
                <c:pt idx="11">
                  <c:v>-394149.65576110489</c:v>
                </c:pt>
                <c:pt idx="12">
                  <c:v>-402032.64887632697</c:v>
                </c:pt>
                <c:pt idx="13">
                  <c:v>-410073.30185385345</c:v>
                </c:pt>
                <c:pt idx="14">
                  <c:v>-418274.76789093053</c:v>
                </c:pt>
                <c:pt idx="15">
                  <c:v>-426640.26324874919</c:v>
                </c:pt>
              </c:numCache>
            </c:numRef>
          </c:val>
        </c:ser>
        <c:dLbls>
          <c:showLegendKey val="0"/>
          <c:showVal val="0"/>
          <c:showCatName val="0"/>
          <c:showSerName val="0"/>
          <c:showPercent val="0"/>
          <c:showBubbleSize val="0"/>
        </c:dLbls>
        <c:gapWidth val="150"/>
        <c:axId val="111224320"/>
        <c:axId val="54549248"/>
      </c:barChart>
      <c:catAx>
        <c:axId val="111224320"/>
        <c:scaling>
          <c:orientation val="minMax"/>
        </c:scaling>
        <c:delete val="0"/>
        <c:axPos val="b"/>
        <c:numFmt formatCode="General" sourceLinked="0"/>
        <c:majorTickMark val="out"/>
        <c:minorTickMark val="none"/>
        <c:tickLblPos val="nextTo"/>
        <c:txPr>
          <a:bodyPr/>
          <a:lstStyle/>
          <a:p>
            <a:pPr>
              <a:defRPr sz="800"/>
            </a:pPr>
            <a:endParaRPr lang="en-US"/>
          </a:p>
        </c:txPr>
        <c:crossAx val="54549248"/>
        <c:crosses val="autoZero"/>
        <c:auto val="1"/>
        <c:lblAlgn val="ctr"/>
        <c:lblOffset val="100"/>
        <c:noMultiLvlLbl val="0"/>
      </c:catAx>
      <c:valAx>
        <c:axId val="54549248"/>
        <c:scaling>
          <c:orientation val="minMax"/>
          <c:max val="0"/>
        </c:scaling>
        <c:delete val="0"/>
        <c:axPos val="l"/>
        <c:majorGridlines/>
        <c:numFmt formatCode="&quot;$&quot;#,##0.00" sourceLinked="0"/>
        <c:majorTickMark val="out"/>
        <c:minorTickMark val="none"/>
        <c:tickLblPos val="nextTo"/>
        <c:crossAx val="111224320"/>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en-US"/>
              <a:t>Appropriation Awarded at Year 5</a:t>
            </a:r>
          </a:p>
        </c:rich>
      </c:tx>
      <c:layout/>
      <c:overlay val="1"/>
    </c:title>
    <c:autoTitleDeleted val="0"/>
    <c:plotArea>
      <c:layout>
        <c:manualLayout>
          <c:layoutTarget val="inner"/>
          <c:xMode val="edge"/>
          <c:yMode val="edge"/>
          <c:x val="0.12474119306515256"/>
          <c:y val="0.1521432124024118"/>
          <c:w val="0.8263014345897236"/>
          <c:h val="0.80955573308400874"/>
        </c:manualLayout>
      </c:layout>
      <c:barChart>
        <c:barDir val="col"/>
        <c:grouping val="clustered"/>
        <c:varyColors val="0"/>
        <c:ser>
          <c:idx val="0"/>
          <c:order val="0"/>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Cashflows!$D$3:$D$18</c:f>
              <c:numCache>
                <c:formatCode>_("$"* #,##0_);_("$"* \(#,##0\);_("$"* "-"??_);_(@_)</c:formatCode>
                <c:ptCount val="16"/>
                <c:pt idx="0">
                  <c:v>-475000</c:v>
                </c:pt>
                <c:pt idx="1">
                  <c:v>-949200</c:v>
                </c:pt>
                <c:pt idx="2">
                  <c:v>-1435284</c:v>
                </c:pt>
                <c:pt idx="3">
                  <c:v>-1928439.68</c:v>
                </c:pt>
                <c:pt idx="4">
                  <c:v>-2436358.4736000001</c:v>
                </c:pt>
                <c:pt idx="5">
                  <c:v>-2944235.6430720002</c:v>
                </c:pt>
                <c:pt idx="6">
                  <c:v>-3301229.1299786884</c:v>
                </c:pt>
                <c:pt idx="7">
                  <c:v>-3665362.4866235103</c:v>
                </c:pt>
                <c:pt idx="8">
                  <c:v>-4036778.5104012284</c:v>
                </c:pt>
                <c:pt idx="9">
                  <c:v>-4415622.8546545012</c:v>
                </c:pt>
                <c:pt idx="10">
                  <c:v>-4802044.0857928395</c:v>
                </c:pt>
                <c:pt idx="11">
                  <c:v>-5196193.7415539445</c:v>
                </c:pt>
                <c:pt idx="12">
                  <c:v>-5598226.3904302716</c:v>
                </c:pt>
                <c:pt idx="13">
                  <c:v>-6008299.6922841249</c:v>
                </c:pt>
                <c:pt idx="14">
                  <c:v>-6426574.4601750551</c:v>
                </c:pt>
                <c:pt idx="15">
                  <c:v>-6853214.7234238042</c:v>
                </c:pt>
              </c:numCache>
            </c:numRef>
          </c:val>
        </c:ser>
        <c:dLbls>
          <c:showLegendKey val="0"/>
          <c:showVal val="0"/>
          <c:showCatName val="0"/>
          <c:showSerName val="0"/>
          <c:showPercent val="0"/>
          <c:showBubbleSize val="0"/>
        </c:dLbls>
        <c:gapWidth val="150"/>
        <c:axId val="113707520"/>
        <c:axId val="112515840"/>
      </c:barChart>
      <c:catAx>
        <c:axId val="113707520"/>
        <c:scaling>
          <c:orientation val="minMax"/>
        </c:scaling>
        <c:delete val="0"/>
        <c:axPos val="b"/>
        <c:numFmt formatCode="General" sourceLinked="1"/>
        <c:majorTickMark val="out"/>
        <c:minorTickMark val="none"/>
        <c:tickLblPos val="nextTo"/>
        <c:txPr>
          <a:bodyPr/>
          <a:lstStyle/>
          <a:p>
            <a:pPr>
              <a:defRPr sz="800"/>
            </a:pPr>
            <a:endParaRPr lang="en-US"/>
          </a:p>
        </c:txPr>
        <c:crossAx val="112515840"/>
        <c:crosses val="autoZero"/>
        <c:auto val="1"/>
        <c:lblAlgn val="ctr"/>
        <c:lblOffset val="100"/>
        <c:noMultiLvlLbl val="0"/>
      </c:catAx>
      <c:valAx>
        <c:axId val="112515840"/>
        <c:scaling>
          <c:orientation val="minMax"/>
        </c:scaling>
        <c:delete val="0"/>
        <c:axPos val="l"/>
        <c:majorGridlines/>
        <c:numFmt formatCode="&quot;$&quot;#,##0" sourceLinked="0"/>
        <c:majorTickMark val="out"/>
        <c:minorTickMark val="none"/>
        <c:tickLblPos val="nextTo"/>
        <c:crossAx val="113707520"/>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Cash Flow</a:t>
            </a:r>
            <a:r>
              <a:rPr lang="en-US" baseline="0"/>
              <a:t> Comparison</a:t>
            </a:r>
          </a:p>
          <a:p>
            <a:pPr>
              <a:defRPr/>
            </a:pPr>
            <a:r>
              <a:rPr lang="en-US" baseline="0"/>
              <a:t>(Energy Costs + Payments)</a:t>
            </a:r>
          </a:p>
        </c:rich>
      </c:tx>
      <c:layout>
        <c:manualLayout>
          <c:xMode val="edge"/>
          <c:yMode val="edge"/>
          <c:x val="0.3499511193622365"/>
          <c:y val="1.7549011989299524E-2"/>
        </c:manualLayout>
      </c:layout>
      <c:overlay val="1"/>
    </c:title>
    <c:autoTitleDeleted val="0"/>
    <c:plotArea>
      <c:layout>
        <c:manualLayout>
          <c:layoutTarget val="inner"/>
          <c:xMode val="edge"/>
          <c:yMode val="edge"/>
          <c:x val="0.10203285567364503"/>
          <c:y val="0.11346267545213706"/>
          <c:w val="0.7846970304642279"/>
          <c:h val="0.85065039679944054"/>
        </c:manualLayout>
      </c:layout>
      <c:barChart>
        <c:barDir val="col"/>
        <c:grouping val="clustered"/>
        <c:varyColors val="0"/>
        <c:ser>
          <c:idx val="1"/>
          <c:order val="0"/>
          <c:tx>
            <c:v>Appr. Awarded Yr. 5</c:v>
          </c:tx>
          <c:spPr>
            <a:solidFill>
              <a:srgbClr val="7030A0"/>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Cashflows!$D$3:$D$18</c:f>
              <c:numCache>
                <c:formatCode>_("$"* #,##0_);_("$"* \(#,##0\);_("$"* "-"??_);_(@_)</c:formatCode>
                <c:ptCount val="16"/>
                <c:pt idx="0">
                  <c:v>-475000</c:v>
                </c:pt>
                <c:pt idx="1">
                  <c:v>-949200</c:v>
                </c:pt>
                <c:pt idx="2">
                  <c:v>-1435284</c:v>
                </c:pt>
                <c:pt idx="3">
                  <c:v>-1928439.68</c:v>
                </c:pt>
                <c:pt idx="4">
                  <c:v>-2436358.4736000001</c:v>
                </c:pt>
                <c:pt idx="5">
                  <c:v>-2944235.6430720002</c:v>
                </c:pt>
                <c:pt idx="6">
                  <c:v>-3301229.1299786884</c:v>
                </c:pt>
                <c:pt idx="7">
                  <c:v>-3665362.4866235103</c:v>
                </c:pt>
                <c:pt idx="8">
                  <c:v>-4036778.5104012284</c:v>
                </c:pt>
                <c:pt idx="9">
                  <c:v>-4415622.8546545012</c:v>
                </c:pt>
                <c:pt idx="10">
                  <c:v>-4802044.0857928395</c:v>
                </c:pt>
                <c:pt idx="11">
                  <c:v>-5196193.7415539445</c:v>
                </c:pt>
                <c:pt idx="12">
                  <c:v>-5598226.3904302716</c:v>
                </c:pt>
                <c:pt idx="13">
                  <c:v>-6008299.6922841249</c:v>
                </c:pt>
                <c:pt idx="14">
                  <c:v>-6426574.4601750551</c:v>
                </c:pt>
                <c:pt idx="15">
                  <c:v>-6853214.7234238042</c:v>
                </c:pt>
              </c:numCache>
            </c:numRef>
          </c:val>
        </c:ser>
        <c:ser>
          <c:idx val="0"/>
          <c:order val="1"/>
          <c:tx>
            <c:v>Loan, Immediate Action</c:v>
          </c:tx>
          <c:spPr>
            <a:solidFill>
              <a:srgbClr val="00B050"/>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Cashflows!$H$3:$H$18</c:f>
              <c:numCache>
                <c:formatCode>_("$"* #,##0_);_("$"* \(#,##0\);_("$"* "-"??_);_(@_)</c:formatCode>
                <c:ptCount val="16"/>
                <c:pt idx="0">
                  <c:v>-460000</c:v>
                </c:pt>
                <c:pt idx="1">
                  <c:v>-913901.06975106068</c:v>
                </c:pt>
                <c:pt idx="2">
                  <c:v>-1374268.9395021214</c:v>
                </c:pt>
                <c:pt idx="3">
                  <c:v>-1841232.9452531822</c:v>
                </c:pt>
                <c:pt idx="4">
                  <c:v>-2314925.0097242426</c:v>
                </c:pt>
                <c:pt idx="5">
                  <c:v>-2795479.6940897033</c:v>
                </c:pt>
                <c:pt idx="6">
                  <c:v>-3283034.250747452</c:v>
                </c:pt>
                <c:pt idx="7">
                  <c:v>-3647167.6073922738</c:v>
                </c:pt>
                <c:pt idx="8">
                  <c:v>-4018583.631169992</c:v>
                </c:pt>
                <c:pt idx="9">
                  <c:v>-4397427.9754232643</c:v>
                </c:pt>
                <c:pt idx="10">
                  <c:v>-4783849.2065616027</c:v>
                </c:pt>
                <c:pt idx="11">
                  <c:v>-5177998.8623227077</c:v>
                </c:pt>
                <c:pt idx="12">
                  <c:v>-5580031.5111990348</c:v>
                </c:pt>
                <c:pt idx="13">
                  <c:v>-5990104.813052888</c:v>
                </c:pt>
                <c:pt idx="14">
                  <c:v>-6408379.5809438182</c:v>
                </c:pt>
                <c:pt idx="15">
                  <c:v>-6835019.8441925673</c:v>
                </c:pt>
              </c:numCache>
            </c:numRef>
          </c:val>
        </c:ser>
        <c:ser>
          <c:idx val="2"/>
          <c:order val="2"/>
          <c:tx>
            <c:v>Loan, 5 Year Delay</c:v>
          </c:tx>
          <c:spPr>
            <a:solidFill>
              <a:srgbClr val="00B0F0"/>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Cashflows!$L$3:$L$18</c:f>
              <c:numCache>
                <c:formatCode>_("$"* #,##0_);_("$"* \(#,##0\);_("$"* "-"??_);_(@_)</c:formatCode>
                <c:ptCount val="16"/>
                <c:pt idx="0">
                  <c:v>-460000</c:v>
                </c:pt>
                <c:pt idx="1">
                  <c:v>-929200</c:v>
                </c:pt>
                <c:pt idx="2">
                  <c:v>-1407784</c:v>
                </c:pt>
                <c:pt idx="3">
                  <c:v>-1895939.68</c:v>
                </c:pt>
                <c:pt idx="4">
                  <c:v>-2393858.4736000001</c:v>
                </c:pt>
                <c:pt idx="5">
                  <c:v>-2901735.6430720002</c:v>
                </c:pt>
                <c:pt idx="6">
                  <c:v>-3389290.199729749</c:v>
                </c:pt>
                <c:pt idx="7">
                  <c:v>-3883984.6261256314</c:v>
                </c:pt>
                <c:pt idx="8">
                  <c:v>-4385961.7196544101</c:v>
                </c:pt>
                <c:pt idx="9">
                  <c:v>-4895367.1336587435</c:v>
                </c:pt>
                <c:pt idx="10">
                  <c:v>-5412349.4345481424</c:v>
                </c:pt>
                <c:pt idx="11">
                  <c:v>-5937060.1600603079</c:v>
                </c:pt>
                <c:pt idx="12">
                  <c:v>-6339092.808936635</c:v>
                </c:pt>
                <c:pt idx="13">
                  <c:v>-6749166.1107904883</c:v>
                </c:pt>
                <c:pt idx="14">
                  <c:v>-7167440.8786814185</c:v>
                </c:pt>
                <c:pt idx="15">
                  <c:v>-7594081.1419301676</c:v>
                </c:pt>
              </c:numCache>
            </c:numRef>
          </c:val>
        </c:ser>
        <c:ser>
          <c:idx val="3"/>
          <c:order val="3"/>
          <c:tx>
            <c:v>No Action</c:v>
          </c:tx>
          <c:spPr>
            <a:solidFill>
              <a:srgbClr val="FF0000"/>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Cashflows!$P$3:$P$18</c:f>
              <c:numCache>
                <c:formatCode>_("$"* #,##0_);_("$"* \(#,##0\);_("$"* "-"??_);_(@_)</c:formatCode>
                <c:ptCount val="16"/>
                <c:pt idx="0">
                  <c:v>-460000</c:v>
                </c:pt>
                <c:pt idx="1">
                  <c:v>-929200</c:v>
                </c:pt>
                <c:pt idx="2">
                  <c:v>-1407784</c:v>
                </c:pt>
                <c:pt idx="3">
                  <c:v>-1895939.68</c:v>
                </c:pt>
                <c:pt idx="4">
                  <c:v>-2393858.4736000001</c:v>
                </c:pt>
                <c:pt idx="5">
                  <c:v>-2901735.6430720002</c:v>
                </c:pt>
                <c:pt idx="6">
                  <c:v>-3419770.3559334404</c:v>
                </c:pt>
                <c:pt idx="7">
                  <c:v>-3948165.7630521092</c:v>
                </c:pt>
                <c:pt idx="8">
                  <c:v>-4487129.0783131514</c:v>
                </c:pt>
                <c:pt idx="9">
                  <c:v>-5036871.6598794144</c:v>
                </c:pt>
                <c:pt idx="10">
                  <c:v>-5597609.093077003</c:v>
                </c:pt>
                <c:pt idx="11">
                  <c:v>-6169561.2749385433</c:v>
                </c:pt>
                <c:pt idx="12">
                  <c:v>-6752952.5004373146</c:v>
                </c:pt>
                <c:pt idx="13">
                  <c:v>-7348011.5504460614</c:v>
                </c:pt>
                <c:pt idx="14">
                  <c:v>-7954971.7814549822</c:v>
                </c:pt>
                <c:pt idx="15">
                  <c:v>-8574071.2170840818</c:v>
                </c:pt>
              </c:numCache>
            </c:numRef>
          </c:val>
        </c:ser>
        <c:dLbls>
          <c:showLegendKey val="0"/>
          <c:showVal val="0"/>
          <c:showCatName val="0"/>
          <c:showSerName val="0"/>
          <c:showPercent val="0"/>
          <c:showBubbleSize val="0"/>
        </c:dLbls>
        <c:gapWidth val="150"/>
        <c:axId val="113708032"/>
        <c:axId val="115278976"/>
      </c:barChart>
      <c:catAx>
        <c:axId val="113708032"/>
        <c:scaling>
          <c:orientation val="minMax"/>
        </c:scaling>
        <c:delete val="0"/>
        <c:axPos val="b"/>
        <c:numFmt formatCode="General" sourceLinked="1"/>
        <c:majorTickMark val="out"/>
        <c:minorTickMark val="none"/>
        <c:tickLblPos val="nextTo"/>
        <c:crossAx val="115278976"/>
        <c:crosses val="autoZero"/>
        <c:auto val="1"/>
        <c:lblAlgn val="ctr"/>
        <c:lblOffset val="100"/>
        <c:noMultiLvlLbl val="0"/>
      </c:catAx>
      <c:valAx>
        <c:axId val="115278976"/>
        <c:scaling>
          <c:orientation val="minMax"/>
          <c:max val="0"/>
        </c:scaling>
        <c:delete val="0"/>
        <c:axPos val="l"/>
        <c:majorGridlines/>
        <c:numFmt formatCode="&quot;$&quot;#,##0" sourceLinked="0"/>
        <c:majorTickMark val="out"/>
        <c:minorTickMark val="none"/>
        <c:tickLblPos val="nextTo"/>
        <c:crossAx val="113708032"/>
        <c:crosses val="autoZero"/>
        <c:crossBetween val="between"/>
      </c:valAx>
    </c:plotArea>
    <c:legend>
      <c:legendPos val="r"/>
      <c:layout>
        <c:manualLayout>
          <c:xMode val="edge"/>
          <c:yMode val="edge"/>
          <c:x val="0.89864995085726762"/>
          <c:y val="0.38310023622020639"/>
          <c:w val="9.4692847002293329E-2"/>
          <c:h val="0.23984732622065083"/>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Cumulative Costs and the </a:t>
            </a:r>
            <a:r>
              <a:rPr lang="en-US" sz="1800" b="1" i="0" u="none" strike="noStrike" baseline="0">
                <a:effectLst/>
              </a:rPr>
              <a:t>Benefit of Action </a:t>
            </a:r>
            <a:r>
              <a:rPr lang="en-US"/>
              <a:t> </a:t>
            </a:r>
          </a:p>
        </c:rich>
      </c:tx>
      <c:layout/>
      <c:overlay val="0"/>
    </c:title>
    <c:autoTitleDeleted val="0"/>
    <c:plotArea>
      <c:layout>
        <c:manualLayout>
          <c:layoutTarget val="inner"/>
          <c:xMode val="edge"/>
          <c:yMode val="edge"/>
          <c:x val="8.4494711246816553E-2"/>
          <c:y val="8.5101622374838259E-2"/>
          <c:w val="0.69487919824629507"/>
          <c:h val="0.86423155170697719"/>
        </c:manualLayout>
      </c:layout>
      <c:lineChart>
        <c:grouping val="standard"/>
        <c:varyColors val="0"/>
        <c:ser>
          <c:idx val="3"/>
          <c:order val="0"/>
          <c:tx>
            <c:v>Appr. Awarded Yr. 5</c:v>
          </c:tx>
          <c:marker>
            <c:symbol val="none"/>
          </c:marker>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Cashflows!$E$3:$E$18</c:f>
              <c:numCache>
                <c:formatCode>_("$"* #,##0_);_("$"* \(#,##0\);_("$"* "-"??_);_(@_)</c:formatCode>
                <c:ptCount val="16"/>
                <c:pt idx="0">
                  <c:v>475000</c:v>
                </c:pt>
                <c:pt idx="1">
                  <c:v>949200</c:v>
                </c:pt>
                <c:pt idx="2">
                  <c:v>1435284</c:v>
                </c:pt>
                <c:pt idx="3">
                  <c:v>1928439.68</c:v>
                </c:pt>
                <c:pt idx="4">
                  <c:v>2436358.4736000001</c:v>
                </c:pt>
                <c:pt idx="5">
                  <c:v>2944235.6430720002</c:v>
                </c:pt>
                <c:pt idx="6">
                  <c:v>3301229.1299786884</c:v>
                </c:pt>
                <c:pt idx="7">
                  <c:v>3665362.4866235103</c:v>
                </c:pt>
                <c:pt idx="8">
                  <c:v>4036778.5104012284</c:v>
                </c:pt>
                <c:pt idx="9">
                  <c:v>4415622.8546545012</c:v>
                </c:pt>
                <c:pt idx="10">
                  <c:v>4802044.0857928395</c:v>
                </c:pt>
                <c:pt idx="11">
                  <c:v>5196193.7415539445</c:v>
                </c:pt>
                <c:pt idx="12">
                  <c:v>5598226.3904302716</c:v>
                </c:pt>
                <c:pt idx="13">
                  <c:v>6008299.6922841249</c:v>
                </c:pt>
                <c:pt idx="14">
                  <c:v>6426574.4601750551</c:v>
                </c:pt>
                <c:pt idx="15">
                  <c:v>6853214.7234238042</c:v>
                </c:pt>
              </c:numCache>
            </c:numRef>
          </c:val>
          <c:smooth val="0"/>
        </c:ser>
        <c:ser>
          <c:idx val="0"/>
          <c:order val="1"/>
          <c:tx>
            <c:v>Loan, Immediate Action</c:v>
          </c:tx>
          <c:spPr>
            <a:ln>
              <a:solidFill>
                <a:srgbClr val="00B050"/>
              </a:solidFill>
            </a:ln>
          </c:spPr>
          <c:marker>
            <c:symbol val="none"/>
          </c:marker>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Cashflows!$I$3:$I$18</c:f>
              <c:numCache>
                <c:formatCode>_("$"* #,##0_);_("$"* \(#,##0\);_("$"* "-"??_);_(@_)</c:formatCode>
                <c:ptCount val="16"/>
                <c:pt idx="0">
                  <c:v>460000</c:v>
                </c:pt>
                <c:pt idx="1">
                  <c:v>913901.06975106068</c:v>
                </c:pt>
                <c:pt idx="2">
                  <c:v>1374268.9395021214</c:v>
                </c:pt>
                <c:pt idx="3">
                  <c:v>1841232.9452531822</c:v>
                </c:pt>
                <c:pt idx="4">
                  <c:v>2314925.0097242426</c:v>
                </c:pt>
                <c:pt idx="5">
                  <c:v>2795479.6940897033</c:v>
                </c:pt>
                <c:pt idx="6">
                  <c:v>3283034.250747452</c:v>
                </c:pt>
                <c:pt idx="7">
                  <c:v>3647167.6073922738</c:v>
                </c:pt>
                <c:pt idx="8">
                  <c:v>4018583.631169992</c:v>
                </c:pt>
                <c:pt idx="9">
                  <c:v>4397427.9754232643</c:v>
                </c:pt>
                <c:pt idx="10">
                  <c:v>4783849.2065616027</c:v>
                </c:pt>
                <c:pt idx="11">
                  <c:v>5177998.8623227077</c:v>
                </c:pt>
                <c:pt idx="12">
                  <c:v>5580031.5111990348</c:v>
                </c:pt>
                <c:pt idx="13">
                  <c:v>5990104.813052888</c:v>
                </c:pt>
                <c:pt idx="14">
                  <c:v>6408379.5809438182</c:v>
                </c:pt>
                <c:pt idx="15">
                  <c:v>6835019.8441925673</c:v>
                </c:pt>
              </c:numCache>
            </c:numRef>
          </c:val>
          <c:smooth val="0"/>
        </c:ser>
        <c:ser>
          <c:idx val="1"/>
          <c:order val="2"/>
          <c:tx>
            <c:v>Loan, 5 Yr. Delay</c:v>
          </c:tx>
          <c:spPr>
            <a:ln>
              <a:solidFill>
                <a:schemeClr val="tx2">
                  <a:lumMod val="60000"/>
                  <a:lumOff val="40000"/>
                </a:schemeClr>
              </a:solidFill>
            </a:ln>
          </c:spPr>
          <c:marker>
            <c:symbol val="none"/>
          </c:marker>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Cashflows!$M$3:$M$18</c:f>
              <c:numCache>
                <c:formatCode>_("$"* #,##0_);_("$"* \(#,##0\);_("$"* "-"??_);_(@_)</c:formatCode>
                <c:ptCount val="16"/>
                <c:pt idx="0">
                  <c:v>460000</c:v>
                </c:pt>
                <c:pt idx="1">
                  <c:v>929200</c:v>
                </c:pt>
                <c:pt idx="2">
                  <c:v>1407784</c:v>
                </c:pt>
                <c:pt idx="3">
                  <c:v>1895939.68</c:v>
                </c:pt>
                <c:pt idx="4">
                  <c:v>2393858.4736000001</c:v>
                </c:pt>
                <c:pt idx="5">
                  <c:v>2901735.6430720002</c:v>
                </c:pt>
                <c:pt idx="6">
                  <c:v>3389290.199729749</c:v>
                </c:pt>
                <c:pt idx="7">
                  <c:v>3883984.6261256314</c:v>
                </c:pt>
                <c:pt idx="8">
                  <c:v>4385961.7196544101</c:v>
                </c:pt>
                <c:pt idx="9">
                  <c:v>4895367.1336587435</c:v>
                </c:pt>
                <c:pt idx="10">
                  <c:v>5412349.4345481424</c:v>
                </c:pt>
                <c:pt idx="11">
                  <c:v>5937060.1600603079</c:v>
                </c:pt>
                <c:pt idx="12">
                  <c:v>6339092.808936635</c:v>
                </c:pt>
                <c:pt idx="13">
                  <c:v>6749166.1107904883</c:v>
                </c:pt>
                <c:pt idx="14">
                  <c:v>7167440.8786814185</c:v>
                </c:pt>
                <c:pt idx="15">
                  <c:v>7594081.1419301676</c:v>
                </c:pt>
              </c:numCache>
            </c:numRef>
          </c:val>
          <c:smooth val="0"/>
        </c:ser>
        <c:ser>
          <c:idx val="2"/>
          <c:order val="3"/>
          <c:tx>
            <c:v>No Action</c:v>
          </c:tx>
          <c:spPr>
            <a:ln>
              <a:solidFill>
                <a:srgbClr val="FF0000"/>
              </a:solidFill>
            </a:ln>
          </c:spPr>
          <c:marker>
            <c:symbol val="none"/>
          </c:marker>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Cashflows!$Q$3:$Q$18</c:f>
              <c:numCache>
                <c:formatCode>_("$"* #,##0_);_("$"* \(#,##0\);_("$"* "-"??_);_(@_)</c:formatCode>
                <c:ptCount val="16"/>
                <c:pt idx="0">
                  <c:v>460000</c:v>
                </c:pt>
                <c:pt idx="1">
                  <c:v>929200</c:v>
                </c:pt>
                <c:pt idx="2">
                  <c:v>1407784</c:v>
                </c:pt>
                <c:pt idx="3">
                  <c:v>1895939.68</c:v>
                </c:pt>
                <c:pt idx="4">
                  <c:v>2393858.4736000001</c:v>
                </c:pt>
                <c:pt idx="5">
                  <c:v>2901735.6430720002</c:v>
                </c:pt>
                <c:pt idx="6">
                  <c:v>3419770.3559334404</c:v>
                </c:pt>
                <c:pt idx="7">
                  <c:v>3948165.7630521092</c:v>
                </c:pt>
                <c:pt idx="8">
                  <c:v>4487129.0783131514</c:v>
                </c:pt>
                <c:pt idx="9">
                  <c:v>5036871.6598794144</c:v>
                </c:pt>
                <c:pt idx="10">
                  <c:v>5597609.093077003</c:v>
                </c:pt>
                <c:pt idx="11">
                  <c:v>6169561.2749385433</c:v>
                </c:pt>
                <c:pt idx="12">
                  <c:v>6752952.5004373146</c:v>
                </c:pt>
                <c:pt idx="13">
                  <c:v>7348011.5504460614</c:v>
                </c:pt>
                <c:pt idx="14">
                  <c:v>7954971.7814549822</c:v>
                </c:pt>
                <c:pt idx="15">
                  <c:v>8574071.2170840818</c:v>
                </c:pt>
              </c:numCache>
            </c:numRef>
          </c:val>
          <c:smooth val="0"/>
        </c:ser>
        <c:dLbls>
          <c:showLegendKey val="0"/>
          <c:showVal val="0"/>
          <c:showCatName val="0"/>
          <c:showSerName val="0"/>
          <c:showPercent val="0"/>
          <c:showBubbleSize val="0"/>
        </c:dLbls>
        <c:marker val="1"/>
        <c:smooth val="0"/>
        <c:axId val="113708544"/>
        <c:axId val="115280704"/>
      </c:lineChart>
      <c:catAx>
        <c:axId val="113708544"/>
        <c:scaling>
          <c:orientation val="minMax"/>
        </c:scaling>
        <c:delete val="0"/>
        <c:axPos val="b"/>
        <c:numFmt formatCode="General" sourceLinked="1"/>
        <c:majorTickMark val="out"/>
        <c:minorTickMark val="none"/>
        <c:tickLblPos val="nextTo"/>
        <c:crossAx val="115280704"/>
        <c:crosses val="autoZero"/>
        <c:auto val="1"/>
        <c:lblAlgn val="ctr"/>
        <c:lblOffset val="100"/>
        <c:noMultiLvlLbl val="0"/>
      </c:catAx>
      <c:valAx>
        <c:axId val="115280704"/>
        <c:scaling>
          <c:orientation val="minMax"/>
        </c:scaling>
        <c:delete val="0"/>
        <c:axPos val="l"/>
        <c:majorGridlines/>
        <c:numFmt formatCode="_(&quot;$&quot;* #,##0_);_(&quot;$&quot;* \(#,##0\);_(&quot;$&quot;* &quot;-&quot;??_);_(@_)" sourceLinked="1"/>
        <c:majorTickMark val="out"/>
        <c:minorTickMark val="none"/>
        <c:tickLblPos val="nextTo"/>
        <c:crossAx val="113708544"/>
        <c:crosses val="autoZero"/>
        <c:crossBetween val="between"/>
      </c:valAx>
    </c:plotArea>
    <c:legend>
      <c:legendPos val="r"/>
      <c:layout>
        <c:manualLayout>
          <c:xMode val="edge"/>
          <c:yMode val="edge"/>
          <c:x val="0.79119528474050271"/>
          <c:y val="8.3470249825818646E-2"/>
          <c:w val="0.1928993811617728"/>
          <c:h val="0.21489358053396918"/>
        </c:manualLayout>
      </c:layout>
      <c:overlay val="0"/>
      <c:txPr>
        <a:bodyPr/>
        <a:lstStyle/>
        <a:p>
          <a:pPr>
            <a:defRPr sz="1200"/>
          </a:pPr>
          <a:endParaRPr lang="en-US"/>
        </a:p>
      </c:txPr>
    </c:legend>
    <c:plotVisOnly val="1"/>
    <c:dispBlanksAs val="gap"/>
    <c:showDLblsOverMax val="0"/>
  </c:chart>
  <c:txPr>
    <a:bodyPr/>
    <a:lstStyle/>
    <a:p>
      <a:pPr>
        <a:defRPr baseline="0"/>
      </a:pPr>
      <a:endParaRPr lang="en-US"/>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Cumulative Cost</a:t>
            </a:r>
            <a:r>
              <a:rPr lang="en-US" baseline="0"/>
              <a:t> Detail </a:t>
            </a:r>
          </a:p>
          <a:p>
            <a:pPr>
              <a:defRPr/>
            </a:pPr>
            <a:r>
              <a:rPr lang="en-US" baseline="0"/>
              <a:t>(Yr. 1 through life of equipment)</a:t>
            </a:r>
            <a:r>
              <a:rPr lang="en-US"/>
              <a:t>  </a:t>
            </a:r>
          </a:p>
        </c:rich>
      </c:tx>
      <c:layout>
        <c:manualLayout>
          <c:xMode val="edge"/>
          <c:yMode val="edge"/>
          <c:x val="0.34186335400707762"/>
          <c:y val="2.8955767056435081E-4"/>
        </c:manualLayout>
      </c:layout>
      <c:overlay val="0"/>
    </c:title>
    <c:autoTitleDeleted val="0"/>
    <c:plotArea>
      <c:layout>
        <c:manualLayout>
          <c:layoutTarget val="inner"/>
          <c:xMode val="edge"/>
          <c:yMode val="edge"/>
          <c:x val="0.1427470257673798"/>
          <c:y val="0.12990518158777628"/>
          <c:w val="0.81998987752831465"/>
          <c:h val="0.72262264993131065"/>
        </c:manualLayout>
      </c:layout>
      <c:barChart>
        <c:barDir val="col"/>
        <c:grouping val="clustered"/>
        <c:varyColors val="0"/>
        <c:ser>
          <c:idx val="0"/>
          <c:order val="0"/>
          <c:tx>
            <c:strRef>
              <c:f>Cashflows!$A$110</c:f>
              <c:strCache>
                <c:ptCount val="1"/>
                <c:pt idx="0">
                  <c:v> Total (Yr. 1-15) </c:v>
                </c:pt>
              </c:strCache>
            </c:strRef>
          </c:tx>
          <c:spPr>
            <a:solidFill>
              <a:srgbClr val="FF0000"/>
            </a:solidFill>
          </c:spPr>
          <c:invertIfNegative val="0"/>
          <c:cat>
            <c:strRef>
              <c:f>Cashflows!$B$109:$E$109</c:f>
              <c:strCache>
                <c:ptCount val="4"/>
                <c:pt idx="0">
                  <c:v>Cumulative Energy Costs - No Action</c:v>
                </c:pt>
                <c:pt idx="1">
                  <c:v>Cumulative Energy Costs w/ Retrofit</c:v>
                </c:pt>
                <c:pt idx="2">
                  <c:v>Total Loan Payment</c:v>
                </c:pt>
                <c:pt idx="3">
                  <c:v>Cumulative Cost Savings (Savings-loan pmt.)</c:v>
                </c:pt>
              </c:strCache>
            </c:strRef>
          </c:cat>
          <c:val>
            <c:numRef>
              <c:f>Cashflows!$B$110:$E$110</c:f>
              <c:numCache>
                <c:formatCode>_("$"* #,##0_);_("$"* \(#,##0\);_("$"* "-"??_);_(@_)</c:formatCode>
                <c:ptCount val="4"/>
                <c:pt idx="0">
                  <c:v>8114071.2170840818</c:v>
                </c:pt>
                <c:pt idx="1">
                  <c:v>5591653.4256862029</c:v>
                </c:pt>
                <c:pt idx="2">
                  <c:v>783366.41850636411</c:v>
                </c:pt>
                <c:pt idx="3">
                  <c:v>1739051.3728915132</c:v>
                </c:pt>
              </c:numCache>
            </c:numRef>
          </c:val>
        </c:ser>
        <c:dLbls>
          <c:showLegendKey val="0"/>
          <c:showVal val="0"/>
          <c:showCatName val="0"/>
          <c:showSerName val="0"/>
          <c:showPercent val="0"/>
          <c:showBubbleSize val="0"/>
        </c:dLbls>
        <c:gapWidth val="150"/>
        <c:axId val="115144192"/>
        <c:axId val="115353280"/>
      </c:barChart>
      <c:catAx>
        <c:axId val="115144192"/>
        <c:scaling>
          <c:orientation val="minMax"/>
        </c:scaling>
        <c:delete val="0"/>
        <c:axPos val="b"/>
        <c:majorTickMark val="out"/>
        <c:minorTickMark val="none"/>
        <c:tickLblPos val="nextTo"/>
        <c:crossAx val="115353280"/>
        <c:crosses val="autoZero"/>
        <c:auto val="1"/>
        <c:lblAlgn val="ctr"/>
        <c:lblOffset val="100"/>
        <c:noMultiLvlLbl val="0"/>
      </c:catAx>
      <c:valAx>
        <c:axId val="115353280"/>
        <c:scaling>
          <c:orientation val="minMax"/>
        </c:scaling>
        <c:delete val="0"/>
        <c:axPos val="l"/>
        <c:majorGridlines/>
        <c:numFmt formatCode="_(&quot;$&quot;* #,##0_);_(&quot;$&quot;* \(#,##0\);_(&quot;$&quot;* &quot;-&quot;??_);_(@_)" sourceLinked="1"/>
        <c:majorTickMark val="out"/>
        <c:minorTickMark val="none"/>
        <c:tickLblPos val="nextTo"/>
        <c:crossAx val="115144192"/>
        <c:crosses val="autoZero"/>
        <c:crossBetween val="between"/>
      </c:valAx>
    </c:plotArea>
    <c:plotVisOnly val="1"/>
    <c:dispBlanksAs val="gap"/>
    <c:showDLblsOverMax val="0"/>
  </c:chart>
  <c:spPr>
    <a:solidFill>
      <a:srgbClr val="FFFF00"/>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US"/>
              <a:t>Loan, 5 Year Delay</a:t>
            </a:r>
          </a:p>
        </c:rich>
      </c:tx>
      <c:layout/>
      <c:overlay val="1"/>
    </c:title>
    <c:autoTitleDeleted val="0"/>
    <c:plotArea>
      <c:layout>
        <c:manualLayout>
          <c:layoutTarget val="inner"/>
          <c:xMode val="edge"/>
          <c:yMode val="edge"/>
          <c:x val="0.1648497375328084"/>
          <c:y val="0.12886623693066851"/>
          <c:w val="0.80459470691163604"/>
          <c:h val="0.82791228186872323"/>
        </c:manualLayout>
      </c:layout>
      <c:barChart>
        <c:barDir val="col"/>
        <c:grouping val="clustered"/>
        <c:varyColors val="0"/>
        <c:ser>
          <c:idx val="1"/>
          <c:order val="0"/>
          <c:spPr>
            <a:solidFill>
              <a:srgbClr val="EDB71E"/>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Cashflows!$K$3:$K$18</c:f>
              <c:numCache>
                <c:formatCode>_("$"* #,##0_);_("$"* \(#,##0\);_("$"* "-"??_);_(@_)</c:formatCode>
                <c:ptCount val="16"/>
                <c:pt idx="0">
                  <c:v>-460000</c:v>
                </c:pt>
                <c:pt idx="1">
                  <c:v>-469200</c:v>
                </c:pt>
                <c:pt idx="2">
                  <c:v>-478584</c:v>
                </c:pt>
                <c:pt idx="3">
                  <c:v>-488155.68</c:v>
                </c:pt>
                <c:pt idx="4">
                  <c:v>-497918.79359999998</c:v>
                </c:pt>
                <c:pt idx="5">
                  <c:v>-507877.16947199998</c:v>
                </c:pt>
                <c:pt idx="6">
                  <c:v>-487554.55665774865</c:v>
                </c:pt>
                <c:pt idx="7">
                  <c:v>-494694.42639588244</c:v>
                </c:pt>
                <c:pt idx="8">
                  <c:v>-501977.09352877887</c:v>
                </c:pt>
                <c:pt idx="9">
                  <c:v>-509405.41400433332</c:v>
                </c:pt>
                <c:pt idx="10">
                  <c:v>-516982.30088939879</c:v>
                </c:pt>
                <c:pt idx="11">
                  <c:v>-524710.72551216558</c:v>
                </c:pt>
                <c:pt idx="12">
                  <c:v>-402032.64887632697</c:v>
                </c:pt>
                <c:pt idx="13">
                  <c:v>-410073.30185385345</c:v>
                </c:pt>
                <c:pt idx="14">
                  <c:v>-418274.76789093053</c:v>
                </c:pt>
                <c:pt idx="15">
                  <c:v>-426640.26324874919</c:v>
                </c:pt>
              </c:numCache>
            </c:numRef>
          </c:val>
        </c:ser>
        <c:dLbls>
          <c:showLegendKey val="0"/>
          <c:showVal val="0"/>
          <c:showCatName val="0"/>
          <c:showSerName val="0"/>
          <c:showPercent val="0"/>
          <c:showBubbleSize val="0"/>
        </c:dLbls>
        <c:gapWidth val="150"/>
        <c:axId val="111225344"/>
        <c:axId val="111305280"/>
      </c:barChart>
      <c:catAx>
        <c:axId val="111225344"/>
        <c:scaling>
          <c:orientation val="minMax"/>
        </c:scaling>
        <c:delete val="0"/>
        <c:axPos val="b"/>
        <c:numFmt formatCode="General" sourceLinked="1"/>
        <c:majorTickMark val="out"/>
        <c:minorTickMark val="none"/>
        <c:tickLblPos val="nextTo"/>
        <c:txPr>
          <a:bodyPr/>
          <a:lstStyle/>
          <a:p>
            <a:pPr>
              <a:defRPr sz="800"/>
            </a:pPr>
            <a:endParaRPr lang="en-US"/>
          </a:p>
        </c:txPr>
        <c:crossAx val="111305280"/>
        <c:crosses val="autoZero"/>
        <c:auto val="1"/>
        <c:lblAlgn val="ctr"/>
        <c:lblOffset val="100"/>
        <c:noMultiLvlLbl val="0"/>
      </c:catAx>
      <c:valAx>
        <c:axId val="111305280"/>
        <c:scaling>
          <c:orientation val="minMax"/>
          <c:max val="0"/>
        </c:scaling>
        <c:delete val="0"/>
        <c:axPos val="l"/>
        <c:majorGridlines/>
        <c:numFmt formatCode="&quot;$&quot;#,##0.00" sourceLinked="0"/>
        <c:majorTickMark val="out"/>
        <c:minorTickMark val="none"/>
        <c:tickLblPos val="nextTo"/>
        <c:crossAx val="111225344"/>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a:t>
            </a:r>
            <a:r>
              <a:rPr lang="en-US" baseline="0"/>
              <a:t> Action</a:t>
            </a:r>
          </a:p>
        </c:rich>
      </c:tx>
      <c:layout/>
      <c:overlay val="1"/>
    </c:title>
    <c:autoTitleDeleted val="0"/>
    <c:plotArea>
      <c:layout>
        <c:manualLayout>
          <c:layoutTarget val="inner"/>
          <c:xMode val="edge"/>
          <c:yMode val="edge"/>
          <c:x val="0.15275651354391512"/>
          <c:y val="0.13432797398931151"/>
          <c:w val="0.81892945814205653"/>
          <c:h val="0.82193980360478647"/>
        </c:manualLayout>
      </c:layout>
      <c:barChart>
        <c:barDir val="col"/>
        <c:grouping val="clustered"/>
        <c:varyColors val="0"/>
        <c:ser>
          <c:idx val="1"/>
          <c:order val="0"/>
          <c:spPr>
            <a:solidFill>
              <a:srgbClr val="8DC63F"/>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Cashflows!$O$3:$O$18</c:f>
              <c:numCache>
                <c:formatCode>_("$"* #,##0_);_("$"* \(#,##0\);_("$"* "-"??_);_(@_)</c:formatCode>
                <c:ptCount val="16"/>
                <c:pt idx="0">
                  <c:v>-460000</c:v>
                </c:pt>
                <c:pt idx="1">
                  <c:v>-469200</c:v>
                </c:pt>
                <c:pt idx="2">
                  <c:v>-478584</c:v>
                </c:pt>
                <c:pt idx="3">
                  <c:v>-488155.68</c:v>
                </c:pt>
                <c:pt idx="4">
                  <c:v>-497918.79359999998</c:v>
                </c:pt>
                <c:pt idx="5">
                  <c:v>-507877.16947199998</c:v>
                </c:pt>
                <c:pt idx="6">
                  <c:v>-518034.71286143997</c:v>
                </c:pt>
                <c:pt idx="7">
                  <c:v>-528395.40711866878</c:v>
                </c:pt>
                <c:pt idx="8">
                  <c:v>-538963.31526104221</c:v>
                </c:pt>
                <c:pt idx="9">
                  <c:v>-549742.58156626311</c:v>
                </c:pt>
                <c:pt idx="10">
                  <c:v>-560737.43319758843</c:v>
                </c:pt>
                <c:pt idx="11">
                  <c:v>-571952.18186154019</c:v>
                </c:pt>
                <c:pt idx="12">
                  <c:v>-583391.22549877095</c:v>
                </c:pt>
                <c:pt idx="13">
                  <c:v>-595059.05000874633</c:v>
                </c:pt>
                <c:pt idx="14">
                  <c:v>-606960.23100892128</c:v>
                </c:pt>
                <c:pt idx="15">
                  <c:v>-619099.43562909972</c:v>
                </c:pt>
              </c:numCache>
            </c:numRef>
          </c:val>
        </c:ser>
        <c:dLbls>
          <c:showLegendKey val="0"/>
          <c:showVal val="0"/>
          <c:showCatName val="0"/>
          <c:showSerName val="0"/>
          <c:showPercent val="0"/>
          <c:showBubbleSize val="0"/>
        </c:dLbls>
        <c:gapWidth val="150"/>
        <c:axId val="111225856"/>
        <c:axId val="111307008"/>
      </c:barChart>
      <c:catAx>
        <c:axId val="111225856"/>
        <c:scaling>
          <c:orientation val="minMax"/>
        </c:scaling>
        <c:delete val="0"/>
        <c:axPos val="b"/>
        <c:numFmt formatCode="General" sourceLinked="1"/>
        <c:majorTickMark val="out"/>
        <c:minorTickMark val="none"/>
        <c:tickLblPos val="nextTo"/>
        <c:txPr>
          <a:bodyPr/>
          <a:lstStyle/>
          <a:p>
            <a:pPr>
              <a:defRPr sz="800"/>
            </a:pPr>
            <a:endParaRPr lang="en-US"/>
          </a:p>
        </c:txPr>
        <c:crossAx val="111307008"/>
        <c:crosses val="autoZero"/>
        <c:auto val="1"/>
        <c:lblAlgn val="ctr"/>
        <c:lblOffset val="100"/>
        <c:noMultiLvlLbl val="0"/>
      </c:catAx>
      <c:valAx>
        <c:axId val="111307008"/>
        <c:scaling>
          <c:orientation val="minMax"/>
        </c:scaling>
        <c:delete val="0"/>
        <c:axPos val="l"/>
        <c:majorGridlines/>
        <c:numFmt formatCode="&quot;$&quot;#,##0.00" sourceLinked="0"/>
        <c:majorTickMark val="out"/>
        <c:minorTickMark val="none"/>
        <c:tickLblPos val="nextTo"/>
        <c:crossAx val="111225856"/>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Cash Flow</a:t>
            </a:r>
            <a:r>
              <a:rPr lang="en-US" baseline="0"/>
              <a:t> Comparison</a:t>
            </a:r>
          </a:p>
          <a:p>
            <a:pPr>
              <a:defRPr/>
            </a:pPr>
            <a:r>
              <a:rPr lang="en-US" baseline="0"/>
              <a:t>(Energy Costs + Payments)</a:t>
            </a:r>
          </a:p>
        </c:rich>
      </c:tx>
      <c:layout>
        <c:manualLayout>
          <c:xMode val="edge"/>
          <c:yMode val="edge"/>
          <c:x val="0.3499511193622365"/>
          <c:y val="1.7549011989299524E-2"/>
        </c:manualLayout>
      </c:layout>
      <c:overlay val="1"/>
    </c:title>
    <c:autoTitleDeleted val="0"/>
    <c:plotArea>
      <c:layout>
        <c:manualLayout>
          <c:layoutTarget val="inner"/>
          <c:xMode val="edge"/>
          <c:yMode val="edge"/>
          <c:x val="0.10203285567364503"/>
          <c:y val="0.11346267545213706"/>
          <c:w val="0.7846970304642279"/>
          <c:h val="0.85065039679944054"/>
        </c:manualLayout>
      </c:layout>
      <c:barChart>
        <c:barDir val="col"/>
        <c:grouping val="clustered"/>
        <c:varyColors val="0"/>
        <c:ser>
          <c:idx val="1"/>
          <c:order val="0"/>
          <c:tx>
            <c:v>Appr. Awarded at Year 5</c:v>
          </c:tx>
          <c:spPr>
            <a:solidFill>
              <a:srgbClr val="A2B274"/>
            </a:solidFill>
            <a:ln>
              <a:solidFill>
                <a:schemeClr val="tx1"/>
              </a:solidFill>
            </a:ln>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Cashflows!$C$3:$C$18</c:f>
              <c:numCache>
                <c:formatCode>_("$"* #,##0_);_("$"* \(#,##0\);_("$"* "-"??_);_(@_)</c:formatCode>
                <c:ptCount val="16"/>
                <c:pt idx="0">
                  <c:v>-475000</c:v>
                </c:pt>
                <c:pt idx="1">
                  <c:v>-474200</c:v>
                </c:pt>
                <c:pt idx="2">
                  <c:v>-486084</c:v>
                </c:pt>
                <c:pt idx="3">
                  <c:v>-493155.68</c:v>
                </c:pt>
                <c:pt idx="4">
                  <c:v>-507918.79359999998</c:v>
                </c:pt>
                <c:pt idx="5">
                  <c:v>-507877.16947199998</c:v>
                </c:pt>
                <c:pt idx="6">
                  <c:v>-356993.48690668796</c:v>
                </c:pt>
                <c:pt idx="7">
                  <c:v>-364133.35664482176</c:v>
                </c:pt>
                <c:pt idx="8">
                  <c:v>-371416.02377771819</c:v>
                </c:pt>
                <c:pt idx="9">
                  <c:v>-378844.34425327263</c:v>
                </c:pt>
                <c:pt idx="10">
                  <c:v>-386421.2311383381</c:v>
                </c:pt>
                <c:pt idx="11">
                  <c:v>-394149.65576110489</c:v>
                </c:pt>
                <c:pt idx="12">
                  <c:v>-402032.64887632697</c:v>
                </c:pt>
                <c:pt idx="13">
                  <c:v>-410073.30185385345</c:v>
                </c:pt>
                <c:pt idx="14">
                  <c:v>-418274.76789093053</c:v>
                </c:pt>
                <c:pt idx="15">
                  <c:v>-426640.26324874919</c:v>
                </c:pt>
              </c:numCache>
            </c:numRef>
          </c:val>
        </c:ser>
        <c:ser>
          <c:idx val="2"/>
          <c:order val="1"/>
          <c:tx>
            <c:v>Loan, Immediate Action</c:v>
          </c:tx>
          <c:spPr>
            <a:solidFill>
              <a:srgbClr val="E4781D"/>
            </a:solidFill>
            <a:ln>
              <a:solidFill>
                <a:schemeClr val="tx1"/>
              </a:solidFill>
            </a:ln>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Cashflows!$G$3:$G$18</c:f>
              <c:numCache>
                <c:formatCode>_("$"* #,##0_);_("$"* \(#,##0\);_("$"* "-"??_);_(@_)</c:formatCode>
                <c:ptCount val="16"/>
                <c:pt idx="0">
                  <c:v>-460000</c:v>
                </c:pt>
                <c:pt idx="1">
                  <c:v>-453901.06975106068</c:v>
                </c:pt>
                <c:pt idx="2">
                  <c:v>-460367.86975106073</c:v>
                </c:pt>
                <c:pt idx="3">
                  <c:v>-466964.00575106067</c:v>
                </c:pt>
                <c:pt idx="4">
                  <c:v>-473692.06447106064</c:v>
                </c:pt>
                <c:pt idx="5">
                  <c:v>-480554.68436546065</c:v>
                </c:pt>
                <c:pt idx="6">
                  <c:v>-487554.55665774865</c:v>
                </c:pt>
                <c:pt idx="7">
                  <c:v>-364133.35664482176</c:v>
                </c:pt>
                <c:pt idx="8">
                  <c:v>-371416.02377771819</c:v>
                </c:pt>
                <c:pt idx="9">
                  <c:v>-378844.34425327263</c:v>
                </c:pt>
                <c:pt idx="10">
                  <c:v>-386421.2311383381</c:v>
                </c:pt>
                <c:pt idx="11">
                  <c:v>-394149.65576110489</c:v>
                </c:pt>
                <c:pt idx="12">
                  <c:v>-402032.64887632697</c:v>
                </c:pt>
                <c:pt idx="13">
                  <c:v>-410073.30185385345</c:v>
                </c:pt>
                <c:pt idx="14">
                  <c:v>-418274.76789093053</c:v>
                </c:pt>
                <c:pt idx="15">
                  <c:v>-426640.26324874919</c:v>
                </c:pt>
              </c:numCache>
            </c:numRef>
          </c:val>
        </c:ser>
        <c:ser>
          <c:idx val="3"/>
          <c:order val="2"/>
          <c:tx>
            <c:v>Loan, 5 Year Delay</c:v>
          </c:tx>
          <c:spPr>
            <a:solidFill>
              <a:srgbClr val="EDB71E"/>
            </a:solidFill>
            <a:ln>
              <a:solidFill>
                <a:schemeClr val="tx1"/>
              </a:solidFill>
            </a:ln>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Cashflows!$K$3:$K$18</c:f>
              <c:numCache>
                <c:formatCode>_("$"* #,##0_);_("$"* \(#,##0\);_("$"* "-"??_);_(@_)</c:formatCode>
                <c:ptCount val="16"/>
                <c:pt idx="0">
                  <c:v>-460000</c:v>
                </c:pt>
                <c:pt idx="1">
                  <c:v>-469200</c:v>
                </c:pt>
                <c:pt idx="2">
                  <c:v>-478584</c:v>
                </c:pt>
                <c:pt idx="3">
                  <c:v>-488155.68</c:v>
                </c:pt>
                <c:pt idx="4">
                  <c:v>-497918.79359999998</c:v>
                </c:pt>
                <c:pt idx="5">
                  <c:v>-507877.16947199998</c:v>
                </c:pt>
                <c:pt idx="6">
                  <c:v>-487554.55665774865</c:v>
                </c:pt>
                <c:pt idx="7">
                  <c:v>-494694.42639588244</c:v>
                </c:pt>
                <c:pt idx="8">
                  <c:v>-501977.09352877887</c:v>
                </c:pt>
                <c:pt idx="9">
                  <c:v>-509405.41400433332</c:v>
                </c:pt>
                <c:pt idx="10">
                  <c:v>-516982.30088939879</c:v>
                </c:pt>
                <c:pt idx="11">
                  <c:v>-524710.72551216558</c:v>
                </c:pt>
                <c:pt idx="12">
                  <c:v>-402032.64887632697</c:v>
                </c:pt>
                <c:pt idx="13">
                  <c:v>-410073.30185385345</c:v>
                </c:pt>
                <c:pt idx="14">
                  <c:v>-418274.76789093053</c:v>
                </c:pt>
                <c:pt idx="15">
                  <c:v>-426640.26324874919</c:v>
                </c:pt>
              </c:numCache>
            </c:numRef>
          </c:val>
        </c:ser>
        <c:ser>
          <c:idx val="4"/>
          <c:order val="3"/>
          <c:tx>
            <c:v>No Action</c:v>
          </c:tx>
          <c:spPr>
            <a:solidFill>
              <a:srgbClr val="8DC63F"/>
            </a:solidFill>
            <a:ln>
              <a:solidFill>
                <a:schemeClr val="tx1"/>
              </a:solidFill>
            </a:ln>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Cashflows!$O$3:$O$18</c:f>
              <c:numCache>
                <c:formatCode>_("$"* #,##0_);_("$"* \(#,##0\);_("$"* "-"??_);_(@_)</c:formatCode>
                <c:ptCount val="16"/>
                <c:pt idx="0">
                  <c:v>-460000</c:v>
                </c:pt>
                <c:pt idx="1">
                  <c:v>-469200</c:v>
                </c:pt>
                <c:pt idx="2">
                  <c:v>-478584</c:v>
                </c:pt>
                <c:pt idx="3">
                  <c:v>-488155.68</c:v>
                </c:pt>
                <c:pt idx="4">
                  <c:v>-497918.79359999998</c:v>
                </c:pt>
                <c:pt idx="5">
                  <c:v>-507877.16947199998</c:v>
                </c:pt>
                <c:pt idx="6">
                  <c:v>-518034.71286143997</c:v>
                </c:pt>
                <c:pt idx="7">
                  <c:v>-528395.40711866878</c:v>
                </c:pt>
                <c:pt idx="8">
                  <c:v>-538963.31526104221</c:v>
                </c:pt>
                <c:pt idx="9">
                  <c:v>-549742.58156626311</c:v>
                </c:pt>
                <c:pt idx="10">
                  <c:v>-560737.43319758843</c:v>
                </c:pt>
                <c:pt idx="11">
                  <c:v>-571952.18186154019</c:v>
                </c:pt>
                <c:pt idx="12">
                  <c:v>-583391.22549877095</c:v>
                </c:pt>
                <c:pt idx="13">
                  <c:v>-595059.05000874633</c:v>
                </c:pt>
                <c:pt idx="14">
                  <c:v>-606960.23100892128</c:v>
                </c:pt>
                <c:pt idx="15">
                  <c:v>-619099.43562909972</c:v>
                </c:pt>
              </c:numCache>
            </c:numRef>
          </c:val>
        </c:ser>
        <c:dLbls>
          <c:showLegendKey val="0"/>
          <c:showVal val="0"/>
          <c:showCatName val="0"/>
          <c:showSerName val="0"/>
          <c:showPercent val="0"/>
          <c:showBubbleSize val="0"/>
        </c:dLbls>
        <c:gapWidth val="150"/>
        <c:axId val="111226368"/>
        <c:axId val="111309312"/>
      </c:barChart>
      <c:catAx>
        <c:axId val="111226368"/>
        <c:scaling>
          <c:orientation val="minMax"/>
        </c:scaling>
        <c:delete val="0"/>
        <c:axPos val="b"/>
        <c:numFmt formatCode="General" sourceLinked="1"/>
        <c:majorTickMark val="out"/>
        <c:minorTickMark val="none"/>
        <c:tickLblPos val="nextTo"/>
        <c:crossAx val="111309312"/>
        <c:crosses val="autoZero"/>
        <c:auto val="1"/>
        <c:lblAlgn val="ctr"/>
        <c:lblOffset val="100"/>
        <c:noMultiLvlLbl val="0"/>
      </c:catAx>
      <c:valAx>
        <c:axId val="111309312"/>
        <c:scaling>
          <c:orientation val="minMax"/>
          <c:max val="0"/>
        </c:scaling>
        <c:delete val="0"/>
        <c:axPos val="l"/>
        <c:majorGridlines/>
        <c:numFmt formatCode="&quot;$&quot;#,##0" sourceLinked="0"/>
        <c:majorTickMark val="out"/>
        <c:minorTickMark val="none"/>
        <c:tickLblPos val="nextTo"/>
        <c:crossAx val="111226368"/>
        <c:crosses val="autoZero"/>
        <c:crossBetween val="between"/>
      </c:valAx>
    </c:plotArea>
    <c:legend>
      <c:legendPos val="r"/>
      <c:layout>
        <c:manualLayout>
          <c:xMode val="edge"/>
          <c:yMode val="edge"/>
          <c:x val="0.90641668425842481"/>
          <c:y val="0.38310024552927752"/>
          <c:w val="8.2845062221273968E-2"/>
          <c:h val="0.23379925442783686"/>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Cost Savings </a:t>
            </a:r>
            <a:r>
              <a:rPr lang="en-US" baseline="0"/>
              <a:t>Comparison</a:t>
            </a:r>
          </a:p>
          <a:p>
            <a:pPr>
              <a:defRPr/>
            </a:pPr>
            <a:r>
              <a:rPr lang="en-US" baseline="0"/>
              <a:t>(Energy Cost Savings - Payments)</a:t>
            </a:r>
          </a:p>
        </c:rich>
      </c:tx>
      <c:layout>
        <c:manualLayout>
          <c:xMode val="edge"/>
          <c:yMode val="edge"/>
          <c:x val="0.36841255605694384"/>
          <c:y val="3.8561867050220609E-3"/>
        </c:manualLayout>
      </c:layout>
      <c:overlay val="1"/>
    </c:title>
    <c:autoTitleDeleted val="0"/>
    <c:plotArea>
      <c:layout>
        <c:manualLayout>
          <c:layoutTarget val="inner"/>
          <c:xMode val="edge"/>
          <c:yMode val="edge"/>
          <c:x val="9.9325642581894025E-2"/>
          <c:y val="9.6482459237446805E-2"/>
          <c:w val="0.74835251520051815"/>
          <c:h val="0.86793253279137206"/>
        </c:manualLayout>
      </c:layout>
      <c:barChart>
        <c:barDir val="col"/>
        <c:grouping val="clustered"/>
        <c:varyColors val="0"/>
        <c:ser>
          <c:idx val="2"/>
          <c:order val="0"/>
          <c:tx>
            <c:v>Appropriation yr 5. (utility savings - prep. costs)</c:v>
          </c:tx>
          <c:spPr>
            <a:solidFill>
              <a:srgbClr val="7030A0"/>
            </a:solidFill>
          </c:spPr>
          <c:invertIfNegative val="0"/>
          <c:cat>
            <c:numRef>
              <c:f>Cashflows!$A$24:$A$39</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Cashflows!$H$24:$H$39</c:f>
              <c:numCache>
                <c:formatCode>_("$"* #,##0_);_("$"* \(#,##0\);_("$"* "-"??_);_(@_)</c:formatCode>
                <c:ptCount val="16"/>
                <c:pt idx="0">
                  <c:v>-15000</c:v>
                </c:pt>
                <c:pt idx="1">
                  <c:v>-5000</c:v>
                </c:pt>
                <c:pt idx="2">
                  <c:v>-7500</c:v>
                </c:pt>
                <c:pt idx="3">
                  <c:v>-5000</c:v>
                </c:pt>
                <c:pt idx="4">
                  <c:v>-10000</c:v>
                </c:pt>
                <c:pt idx="5">
                  <c:v>0</c:v>
                </c:pt>
                <c:pt idx="6">
                  <c:v>161041.22595475201</c:v>
                </c:pt>
                <c:pt idx="7">
                  <c:v>164262.05047384702</c:v>
                </c:pt>
                <c:pt idx="8">
                  <c:v>167547.29148332402</c:v>
                </c:pt>
                <c:pt idx="9">
                  <c:v>170898.23731299047</c:v>
                </c:pt>
                <c:pt idx="10">
                  <c:v>174316.20205925032</c:v>
                </c:pt>
                <c:pt idx="11">
                  <c:v>177802.52610043529</c:v>
                </c:pt>
                <c:pt idx="12">
                  <c:v>181358.57662244397</c:v>
                </c:pt>
                <c:pt idx="13">
                  <c:v>184985.74815489288</c:v>
                </c:pt>
                <c:pt idx="14">
                  <c:v>188685.46311799076</c:v>
                </c:pt>
                <c:pt idx="15">
                  <c:v>192459.17238035053</c:v>
                </c:pt>
              </c:numCache>
            </c:numRef>
          </c:val>
        </c:ser>
        <c:ser>
          <c:idx val="1"/>
          <c:order val="1"/>
          <c:tx>
            <c:v>Loan (Utility Savings - loan pmts.)</c:v>
          </c:tx>
          <c:spPr>
            <a:solidFill>
              <a:srgbClr val="00B050"/>
            </a:solidFill>
          </c:spPr>
          <c:invertIfNegative val="0"/>
          <c:cat>
            <c:numRef>
              <c:f>Cashflows!$A$24:$A$39</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Cashflows!$H$53:$H$68</c:f>
              <c:numCache>
                <c:formatCode>_("$"* #,##0_);_("$"* \(#,##0\);_("$"* "-"??_);_(@_)</c:formatCode>
                <c:ptCount val="16"/>
                <c:pt idx="1">
                  <c:v>15298.930248939316</c:v>
                </c:pt>
                <c:pt idx="2">
                  <c:v>18216.130248939269</c:v>
                </c:pt>
                <c:pt idx="3">
                  <c:v>21191.674248939322</c:v>
                </c:pt>
                <c:pt idx="4">
                  <c:v>24226.729128939332</c:v>
                </c:pt>
                <c:pt idx="5">
                  <c:v>27322.48510653933</c:v>
                </c:pt>
                <c:pt idx="6">
                  <c:v>30480.156203691324</c:v>
                </c:pt>
                <c:pt idx="7">
                  <c:v>164262.05047384702</c:v>
                </c:pt>
                <c:pt idx="8">
                  <c:v>167547.29148332402</c:v>
                </c:pt>
                <c:pt idx="9">
                  <c:v>170898.23731299047</c:v>
                </c:pt>
                <c:pt idx="10">
                  <c:v>174316.20205925032</c:v>
                </c:pt>
                <c:pt idx="11">
                  <c:v>177802.52610043529</c:v>
                </c:pt>
                <c:pt idx="12">
                  <c:v>181358.57662244397</c:v>
                </c:pt>
                <c:pt idx="13">
                  <c:v>184985.74815489288</c:v>
                </c:pt>
                <c:pt idx="14">
                  <c:v>188685.46311799076</c:v>
                </c:pt>
                <c:pt idx="15">
                  <c:v>192459.17238035053</c:v>
                </c:pt>
              </c:numCache>
            </c:numRef>
          </c:val>
        </c:ser>
        <c:dLbls>
          <c:showLegendKey val="0"/>
          <c:showVal val="0"/>
          <c:showCatName val="0"/>
          <c:showSerName val="0"/>
          <c:showPercent val="0"/>
          <c:showBubbleSize val="0"/>
        </c:dLbls>
        <c:gapWidth val="150"/>
        <c:axId val="113705472"/>
        <c:axId val="111311616"/>
      </c:barChart>
      <c:catAx>
        <c:axId val="113705472"/>
        <c:scaling>
          <c:orientation val="minMax"/>
        </c:scaling>
        <c:delete val="0"/>
        <c:axPos val="b"/>
        <c:numFmt formatCode="General" sourceLinked="1"/>
        <c:majorTickMark val="out"/>
        <c:minorTickMark val="none"/>
        <c:tickLblPos val="nextTo"/>
        <c:crossAx val="111311616"/>
        <c:crosses val="autoZero"/>
        <c:auto val="1"/>
        <c:lblAlgn val="ctr"/>
        <c:lblOffset val="100"/>
        <c:noMultiLvlLbl val="0"/>
      </c:catAx>
      <c:valAx>
        <c:axId val="111311616"/>
        <c:scaling>
          <c:orientation val="minMax"/>
        </c:scaling>
        <c:delete val="0"/>
        <c:axPos val="l"/>
        <c:majorGridlines/>
        <c:numFmt formatCode="_(&quot;$&quot;* #,##0_);_(&quot;$&quot;* \(#,##0\);_(&quot;$&quot;* &quot;-&quot;??_);_(@_)" sourceLinked="1"/>
        <c:majorTickMark val="out"/>
        <c:minorTickMark val="none"/>
        <c:tickLblPos val="nextTo"/>
        <c:crossAx val="113705472"/>
        <c:crosses val="autoZero"/>
        <c:crossBetween val="between"/>
      </c:valAx>
    </c:plotArea>
    <c:legend>
      <c:legendPos val="r"/>
      <c:layout>
        <c:manualLayout>
          <c:xMode val="edge"/>
          <c:yMode val="edge"/>
          <c:x val="0.84610943550411455"/>
          <c:y val="0.38720642954523665"/>
          <c:w val="0.14707625383539719"/>
          <c:h val="0.16563203213628164"/>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en-US"/>
              <a:t>Appropriation Awarded at Year 5</a:t>
            </a:r>
          </a:p>
        </c:rich>
      </c:tx>
      <c:layout/>
      <c:overlay val="1"/>
    </c:title>
    <c:autoTitleDeleted val="0"/>
    <c:plotArea>
      <c:layout>
        <c:manualLayout>
          <c:layoutTarget val="inner"/>
          <c:xMode val="edge"/>
          <c:yMode val="edge"/>
          <c:x val="0.12474119306515256"/>
          <c:y val="0.1521432124024118"/>
          <c:w val="0.8263014345897236"/>
          <c:h val="0.80955573308400874"/>
        </c:manualLayout>
      </c:layout>
      <c:barChart>
        <c:barDir val="col"/>
        <c:grouping val="clustered"/>
        <c:varyColors val="0"/>
        <c:ser>
          <c:idx val="0"/>
          <c:order val="0"/>
          <c:spPr>
            <a:solidFill>
              <a:srgbClr val="A2B274"/>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Cashflows!$C$3:$C$18</c:f>
              <c:numCache>
                <c:formatCode>_("$"* #,##0_);_("$"* \(#,##0\);_("$"* "-"??_);_(@_)</c:formatCode>
                <c:ptCount val="16"/>
                <c:pt idx="0">
                  <c:v>-475000</c:v>
                </c:pt>
                <c:pt idx="1">
                  <c:v>-474200</c:v>
                </c:pt>
                <c:pt idx="2">
                  <c:v>-486084</c:v>
                </c:pt>
                <c:pt idx="3">
                  <c:v>-493155.68</c:v>
                </c:pt>
                <c:pt idx="4">
                  <c:v>-507918.79359999998</c:v>
                </c:pt>
                <c:pt idx="5">
                  <c:v>-507877.16947199998</c:v>
                </c:pt>
                <c:pt idx="6">
                  <c:v>-356993.48690668796</c:v>
                </c:pt>
                <c:pt idx="7">
                  <c:v>-364133.35664482176</c:v>
                </c:pt>
                <c:pt idx="8">
                  <c:v>-371416.02377771819</c:v>
                </c:pt>
                <c:pt idx="9">
                  <c:v>-378844.34425327263</c:v>
                </c:pt>
                <c:pt idx="10">
                  <c:v>-386421.2311383381</c:v>
                </c:pt>
                <c:pt idx="11">
                  <c:v>-394149.65576110489</c:v>
                </c:pt>
                <c:pt idx="12">
                  <c:v>-402032.64887632697</c:v>
                </c:pt>
                <c:pt idx="13">
                  <c:v>-410073.30185385345</c:v>
                </c:pt>
                <c:pt idx="14">
                  <c:v>-418274.76789093053</c:v>
                </c:pt>
                <c:pt idx="15">
                  <c:v>-426640.26324874919</c:v>
                </c:pt>
              </c:numCache>
            </c:numRef>
          </c:val>
        </c:ser>
        <c:dLbls>
          <c:showLegendKey val="0"/>
          <c:showVal val="0"/>
          <c:showCatName val="0"/>
          <c:showSerName val="0"/>
          <c:showPercent val="0"/>
          <c:showBubbleSize val="0"/>
        </c:dLbls>
        <c:gapWidth val="150"/>
        <c:axId val="113705984"/>
        <c:axId val="112508928"/>
      </c:barChart>
      <c:catAx>
        <c:axId val="113705984"/>
        <c:scaling>
          <c:orientation val="minMax"/>
        </c:scaling>
        <c:delete val="0"/>
        <c:axPos val="b"/>
        <c:numFmt formatCode="General" sourceLinked="1"/>
        <c:majorTickMark val="out"/>
        <c:minorTickMark val="none"/>
        <c:tickLblPos val="nextTo"/>
        <c:txPr>
          <a:bodyPr/>
          <a:lstStyle/>
          <a:p>
            <a:pPr>
              <a:defRPr sz="800"/>
            </a:pPr>
            <a:endParaRPr lang="en-US"/>
          </a:p>
        </c:txPr>
        <c:crossAx val="112508928"/>
        <c:crosses val="autoZero"/>
        <c:auto val="1"/>
        <c:lblAlgn val="ctr"/>
        <c:lblOffset val="100"/>
        <c:noMultiLvlLbl val="0"/>
      </c:catAx>
      <c:valAx>
        <c:axId val="112508928"/>
        <c:scaling>
          <c:orientation val="minMax"/>
        </c:scaling>
        <c:delete val="0"/>
        <c:axPos val="l"/>
        <c:majorGridlines/>
        <c:numFmt formatCode="&quot;$&quot;#,##0" sourceLinked="0"/>
        <c:majorTickMark val="out"/>
        <c:minorTickMark val="none"/>
        <c:tickLblPos val="nextTo"/>
        <c:crossAx val="113705984"/>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t>Loan, Immediate Action</a:t>
            </a:r>
          </a:p>
        </c:rich>
      </c:tx>
      <c:layout/>
      <c:overlay val="1"/>
    </c:title>
    <c:autoTitleDeleted val="0"/>
    <c:plotArea>
      <c:layout>
        <c:manualLayout>
          <c:layoutTarget val="inner"/>
          <c:xMode val="edge"/>
          <c:yMode val="edge"/>
          <c:x val="0.153051949607934"/>
          <c:y val="0.12445484148937451"/>
          <c:w val="0.81857926182665752"/>
          <c:h val="0.82964327581138564"/>
        </c:manualLayout>
      </c:layout>
      <c:barChart>
        <c:barDir val="col"/>
        <c:grouping val="clustered"/>
        <c:varyColors val="0"/>
        <c:ser>
          <c:idx val="1"/>
          <c:order val="0"/>
          <c:spPr>
            <a:solidFill>
              <a:srgbClr val="00B050"/>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Cashflows!$H$3:$H$18</c:f>
              <c:numCache>
                <c:formatCode>_("$"* #,##0_);_("$"* \(#,##0\);_("$"* "-"??_);_(@_)</c:formatCode>
                <c:ptCount val="16"/>
                <c:pt idx="0">
                  <c:v>-460000</c:v>
                </c:pt>
                <c:pt idx="1">
                  <c:v>-913901.06975106068</c:v>
                </c:pt>
                <c:pt idx="2">
                  <c:v>-1374268.9395021214</c:v>
                </c:pt>
                <c:pt idx="3">
                  <c:v>-1841232.9452531822</c:v>
                </c:pt>
                <c:pt idx="4">
                  <c:v>-2314925.0097242426</c:v>
                </c:pt>
                <c:pt idx="5">
                  <c:v>-2795479.6940897033</c:v>
                </c:pt>
                <c:pt idx="6">
                  <c:v>-3283034.250747452</c:v>
                </c:pt>
                <c:pt idx="7">
                  <c:v>-3647167.6073922738</c:v>
                </c:pt>
                <c:pt idx="8">
                  <c:v>-4018583.631169992</c:v>
                </c:pt>
                <c:pt idx="9">
                  <c:v>-4397427.9754232643</c:v>
                </c:pt>
                <c:pt idx="10">
                  <c:v>-4783849.2065616027</c:v>
                </c:pt>
                <c:pt idx="11">
                  <c:v>-5177998.8623227077</c:v>
                </c:pt>
                <c:pt idx="12">
                  <c:v>-5580031.5111990348</c:v>
                </c:pt>
                <c:pt idx="13">
                  <c:v>-5990104.813052888</c:v>
                </c:pt>
                <c:pt idx="14">
                  <c:v>-6408379.5809438182</c:v>
                </c:pt>
                <c:pt idx="15">
                  <c:v>-6835019.8441925673</c:v>
                </c:pt>
              </c:numCache>
            </c:numRef>
          </c:val>
        </c:ser>
        <c:dLbls>
          <c:showLegendKey val="0"/>
          <c:showVal val="0"/>
          <c:showCatName val="0"/>
          <c:showSerName val="0"/>
          <c:showPercent val="0"/>
          <c:showBubbleSize val="0"/>
        </c:dLbls>
        <c:gapWidth val="150"/>
        <c:axId val="113706496"/>
        <c:axId val="112510656"/>
      </c:barChart>
      <c:catAx>
        <c:axId val="113706496"/>
        <c:scaling>
          <c:orientation val="minMax"/>
        </c:scaling>
        <c:delete val="0"/>
        <c:axPos val="b"/>
        <c:numFmt formatCode="General" sourceLinked="0"/>
        <c:majorTickMark val="out"/>
        <c:minorTickMark val="none"/>
        <c:tickLblPos val="nextTo"/>
        <c:txPr>
          <a:bodyPr/>
          <a:lstStyle/>
          <a:p>
            <a:pPr>
              <a:defRPr sz="800"/>
            </a:pPr>
            <a:endParaRPr lang="en-US"/>
          </a:p>
        </c:txPr>
        <c:crossAx val="112510656"/>
        <c:crosses val="autoZero"/>
        <c:auto val="1"/>
        <c:lblAlgn val="ctr"/>
        <c:lblOffset val="100"/>
        <c:noMultiLvlLbl val="0"/>
      </c:catAx>
      <c:valAx>
        <c:axId val="112510656"/>
        <c:scaling>
          <c:orientation val="minMax"/>
          <c:max val="0"/>
        </c:scaling>
        <c:delete val="0"/>
        <c:axPos val="l"/>
        <c:majorGridlines/>
        <c:numFmt formatCode="&quot;$&quot;#,##0.00" sourceLinked="0"/>
        <c:majorTickMark val="out"/>
        <c:minorTickMark val="none"/>
        <c:tickLblPos val="nextTo"/>
        <c:crossAx val="113706496"/>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US"/>
              <a:t>Loan, 5 Year Delay</a:t>
            </a:r>
          </a:p>
        </c:rich>
      </c:tx>
      <c:layout/>
      <c:overlay val="1"/>
    </c:title>
    <c:autoTitleDeleted val="0"/>
    <c:plotArea>
      <c:layout>
        <c:manualLayout>
          <c:layoutTarget val="inner"/>
          <c:xMode val="edge"/>
          <c:yMode val="edge"/>
          <c:x val="0.1648497375328084"/>
          <c:y val="0.12886623693066851"/>
          <c:w val="0.80459470691163604"/>
          <c:h val="0.82791228186872323"/>
        </c:manualLayout>
      </c:layout>
      <c:barChart>
        <c:barDir val="col"/>
        <c:grouping val="clustered"/>
        <c:varyColors val="0"/>
        <c:ser>
          <c:idx val="1"/>
          <c:order val="0"/>
          <c:spPr>
            <a:solidFill>
              <a:srgbClr val="00B0F0"/>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Cashflows!$L$3:$L$18</c:f>
              <c:numCache>
                <c:formatCode>_("$"* #,##0_);_("$"* \(#,##0\);_("$"* "-"??_);_(@_)</c:formatCode>
                <c:ptCount val="16"/>
                <c:pt idx="0">
                  <c:v>-460000</c:v>
                </c:pt>
                <c:pt idx="1">
                  <c:v>-929200</c:v>
                </c:pt>
                <c:pt idx="2">
                  <c:v>-1407784</c:v>
                </c:pt>
                <c:pt idx="3">
                  <c:v>-1895939.68</c:v>
                </c:pt>
                <c:pt idx="4">
                  <c:v>-2393858.4736000001</c:v>
                </c:pt>
                <c:pt idx="5">
                  <c:v>-2901735.6430720002</c:v>
                </c:pt>
                <c:pt idx="6">
                  <c:v>-3389290.199729749</c:v>
                </c:pt>
                <c:pt idx="7">
                  <c:v>-3883984.6261256314</c:v>
                </c:pt>
                <c:pt idx="8">
                  <c:v>-4385961.7196544101</c:v>
                </c:pt>
                <c:pt idx="9">
                  <c:v>-4895367.1336587435</c:v>
                </c:pt>
                <c:pt idx="10">
                  <c:v>-5412349.4345481424</c:v>
                </c:pt>
                <c:pt idx="11">
                  <c:v>-5937060.1600603079</c:v>
                </c:pt>
                <c:pt idx="12">
                  <c:v>-6339092.808936635</c:v>
                </c:pt>
                <c:pt idx="13">
                  <c:v>-6749166.1107904883</c:v>
                </c:pt>
                <c:pt idx="14">
                  <c:v>-7167440.8786814185</c:v>
                </c:pt>
                <c:pt idx="15">
                  <c:v>-7594081.1419301676</c:v>
                </c:pt>
              </c:numCache>
            </c:numRef>
          </c:val>
        </c:ser>
        <c:dLbls>
          <c:showLegendKey val="0"/>
          <c:showVal val="0"/>
          <c:showCatName val="0"/>
          <c:showSerName val="0"/>
          <c:showPercent val="0"/>
          <c:showBubbleSize val="0"/>
        </c:dLbls>
        <c:gapWidth val="150"/>
        <c:axId val="70704128"/>
        <c:axId val="112512384"/>
      </c:barChart>
      <c:catAx>
        <c:axId val="70704128"/>
        <c:scaling>
          <c:orientation val="minMax"/>
        </c:scaling>
        <c:delete val="0"/>
        <c:axPos val="b"/>
        <c:numFmt formatCode="General" sourceLinked="1"/>
        <c:majorTickMark val="out"/>
        <c:minorTickMark val="none"/>
        <c:tickLblPos val="nextTo"/>
        <c:txPr>
          <a:bodyPr/>
          <a:lstStyle/>
          <a:p>
            <a:pPr>
              <a:defRPr sz="800"/>
            </a:pPr>
            <a:endParaRPr lang="en-US"/>
          </a:p>
        </c:txPr>
        <c:crossAx val="112512384"/>
        <c:crosses val="autoZero"/>
        <c:auto val="1"/>
        <c:lblAlgn val="ctr"/>
        <c:lblOffset val="100"/>
        <c:noMultiLvlLbl val="0"/>
      </c:catAx>
      <c:valAx>
        <c:axId val="112512384"/>
        <c:scaling>
          <c:orientation val="minMax"/>
          <c:max val="0"/>
        </c:scaling>
        <c:delete val="0"/>
        <c:axPos val="l"/>
        <c:majorGridlines/>
        <c:numFmt formatCode="&quot;$&quot;#,##0.00" sourceLinked="0"/>
        <c:majorTickMark val="out"/>
        <c:minorTickMark val="none"/>
        <c:tickLblPos val="nextTo"/>
        <c:crossAx val="70704128"/>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a:t>
            </a:r>
            <a:r>
              <a:rPr lang="en-US" baseline="0"/>
              <a:t> Action</a:t>
            </a:r>
          </a:p>
        </c:rich>
      </c:tx>
      <c:layout/>
      <c:overlay val="1"/>
    </c:title>
    <c:autoTitleDeleted val="0"/>
    <c:plotArea>
      <c:layout>
        <c:manualLayout>
          <c:layoutTarget val="inner"/>
          <c:xMode val="edge"/>
          <c:yMode val="edge"/>
          <c:x val="0.15275651354391512"/>
          <c:y val="0.13432797398931151"/>
          <c:w val="0.81892945814205653"/>
          <c:h val="0.82193980360478647"/>
        </c:manualLayout>
      </c:layout>
      <c:barChart>
        <c:barDir val="col"/>
        <c:grouping val="clustered"/>
        <c:varyColors val="0"/>
        <c:ser>
          <c:idx val="1"/>
          <c:order val="0"/>
          <c:spPr>
            <a:solidFill>
              <a:srgbClr val="FF0000"/>
            </a:solidFill>
          </c:spPr>
          <c:invertIfNegative val="0"/>
          <c:cat>
            <c:numRef>
              <c:f>Cashflows!$A$3:$A$18</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Cashflows!$P$3:$P$18</c:f>
              <c:numCache>
                <c:formatCode>_("$"* #,##0_);_("$"* \(#,##0\);_("$"* "-"??_);_(@_)</c:formatCode>
                <c:ptCount val="16"/>
                <c:pt idx="0">
                  <c:v>-460000</c:v>
                </c:pt>
                <c:pt idx="1">
                  <c:v>-929200</c:v>
                </c:pt>
                <c:pt idx="2">
                  <c:v>-1407784</c:v>
                </c:pt>
                <c:pt idx="3">
                  <c:v>-1895939.68</c:v>
                </c:pt>
                <c:pt idx="4">
                  <c:v>-2393858.4736000001</c:v>
                </c:pt>
                <c:pt idx="5">
                  <c:v>-2901735.6430720002</c:v>
                </c:pt>
                <c:pt idx="6">
                  <c:v>-3419770.3559334404</c:v>
                </c:pt>
                <c:pt idx="7">
                  <c:v>-3948165.7630521092</c:v>
                </c:pt>
                <c:pt idx="8">
                  <c:v>-4487129.0783131514</c:v>
                </c:pt>
                <c:pt idx="9">
                  <c:v>-5036871.6598794144</c:v>
                </c:pt>
                <c:pt idx="10">
                  <c:v>-5597609.093077003</c:v>
                </c:pt>
                <c:pt idx="11">
                  <c:v>-6169561.2749385433</c:v>
                </c:pt>
                <c:pt idx="12">
                  <c:v>-6752952.5004373146</c:v>
                </c:pt>
                <c:pt idx="13">
                  <c:v>-7348011.5504460614</c:v>
                </c:pt>
                <c:pt idx="14">
                  <c:v>-7954971.7814549822</c:v>
                </c:pt>
                <c:pt idx="15">
                  <c:v>-8574071.2170840818</c:v>
                </c:pt>
              </c:numCache>
            </c:numRef>
          </c:val>
        </c:ser>
        <c:dLbls>
          <c:showLegendKey val="0"/>
          <c:showVal val="0"/>
          <c:showCatName val="0"/>
          <c:showSerName val="0"/>
          <c:showPercent val="0"/>
          <c:showBubbleSize val="0"/>
        </c:dLbls>
        <c:gapWidth val="150"/>
        <c:axId val="113707008"/>
        <c:axId val="112514112"/>
      </c:barChart>
      <c:catAx>
        <c:axId val="113707008"/>
        <c:scaling>
          <c:orientation val="minMax"/>
        </c:scaling>
        <c:delete val="0"/>
        <c:axPos val="b"/>
        <c:numFmt formatCode="General" sourceLinked="1"/>
        <c:majorTickMark val="out"/>
        <c:minorTickMark val="none"/>
        <c:tickLblPos val="nextTo"/>
        <c:txPr>
          <a:bodyPr/>
          <a:lstStyle/>
          <a:p>
            <a:pPr>
              <a:defRPr sz="800"/>
            </a:pPr>
            <a:endParaRPr lang="en-US"/>
          </a:p>
        </c:txPr>
        <c:crossAx val="112514112"/>
        <c:crosses val="autoZero"/>
        <c:auto val="1"/>
        <c:lblAlgn val="ctr"/>
        <c:lblOffset val="100"/>
        <c:noMultiLvlLbl val="0"/>
      </c:catAx>
      <c:valAx>
        <c:axId val="112514112"/>
        <c:scaling>
          <c:orientation val="minMax"/>
          <c:max val="0"/>
        </c:scaling>
        <c:delete val="0"/>
        <c:axPos val="l"/>
        <c:majorGridlines/>
        <c:numFmt formatCode="&quot;$&quot;#,##0.00" sourceLinked="0"/>
        <c:majorTickMark val="out"/>
        <c:minorTickMark val="none"/>
        <c:tickLblPos val="nextTo"/>
        <c:crossAx val="11370700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10</xdr:col>
      <xdr:colOff>60960</xdr:colOff>
      <xdr:row>0</xdr:row>
      <xdr:rowOff>68580</xdr:rowOff>
    </xdr:from>
    <xdr:to>
      <xdr:col>12</xdr:col>
      <xdr:colOff>21948</xdr:colOff>
      <xdr:row>3</xdr:row>
      <xdr:rowOff>384754</xdr:rowOff>
    </xdr:to>
    <xdr:pic>
      <xdr:nvPicPr>
        <xdr:cNvPr id="21" name="Picture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0300" y="68580"/>
          <a:ext cx="1180188" cy="864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361949</xdr:colOff>
      <xdr:row>12</xdr:row>
      <xdr:rowOff>60230</xdr:rowOff>
    </xdr:from>
    <xdr:to>
      <xdr:col>6</xdr:col>
      <xdr:colOff>866775</xdr:colOff>
      <xdr:row>28</xdr:row>
      <xdr:rowOff>84043</xdr:rowOff>
    </xdr:to>
    <xdr:graphicFrame macro="">
      <xdr:nvGraphicFramePr>
        <xdr:cNvPr id="8"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197224</xdr:colOff>
      <xdr:row>29</xdr:row>
      <xdr:rowOff>26894</xdr:rowOff>
    </xdr:from>
    <xdr:to>
      <xdr:col>3</xdr:col>
      <xdr:colOff>215153</xdr:colOff>
      <xdr:row>46</xdr:row>
      <xdr:rowOff>62755</xdr:rowOff>
    </xdr:to>
    <xdr:graphicFrame macro="">
      <xdr:nvGraphicFramePr>
        <xdr:cNvPr id="9"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360830</xdr:colOff>
      <xdr:row>29</xdr:row>
      <xdr:rowOff>19612</xdr:rowOff>
    </xdr:from>
    <xdr:to>
      <xdr:col>6</xdr:col>
      <xdr:colOff>875180</xdr:colOff>
      <xdr:row>46</xdr:row>
      <xdr:rowOff>65556</xdr:rowOff>
    </xdr:to>
    <xdr:graphicFrame macro="">
      <xdr:nvGraphicFramePr>
        <xdr:cNvPr id="10"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48</xdr:row>
      <xdr:rowOff>111776</xdr:rowOff>
    </xdr:from>
    <xdr:to>
      <xdr:col>7</xdr:col>
      <xdr:colOff>17930</xdr:colOff>
      <xdr:row>91</xdr:row>
      <xdr:rowOff>97491</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7844</xdr:colOff>
      <xdr:row>92</xdr:row>
      <xdr:rowOff>71718</xdr:rowOff>
    </xdr:from>
    <xdr:to>
      <xdr:col>7</xdr:col>
      <xdr:colOff>26894</xdr:colOff>
      <xdr:row>129</xdr:row>
      <xdr:rowOff>0</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203947</xdr:colOff>
      <xdr:row>12</xdr:row>
      <xdr:rowOff>40621</xdr:rowOff>
    </xdr:from>
    <xdr:to>
      <xdr:col>3</xdr:col>
      <xdr:colOff>212911</xdr:colOff>
      <xdr:row>28</xdr:row>
      <xdr:rowOff>91889</xdr:rowOff>
    </xdr:to>
    <xdr:graphicFrame macro="">
      <xdr:nvGraphicFramePr>
        <xdr:cNvPr id="6"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469524</xdr:colOff>
      <xdr:row>134</xdr:row>
      <xdr:rowOff>64433</xdr:rowOff>
    </xdr:from>
    <xdr:to>
      <xdr:col>6</xdr:col>
      <xdr:colOff>860050</xdr:colOff>
      <xdr:row>150</xdr:row>
      <xdr:rowOff>88246</xdr:rowOff>
    </xdr:to>
    <xdr:graphicFrame macro="">
      <xdr:nvGraphicFramePr>
        <xdr:cNvPr id="1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304799</xdr:colOff>
      <xdr:row>151</xdr:row>
      <xdr:rowOff>31096</xdr:rowOff>
    </xdr:from>
    <xdr:to>
      <xdr:col>3</xdr:col>
      <xdr:colOff>322728</xdr:colOff>
      <xdr:row>168</xdr:row>
      <xdr:rowOff>66958</xdr:rowOff>
    </xdr:to>
    <xdr:graphicFrame macro="">
      <xdr:nvGraphicFramePr>
        <xdr:cNvPr id="1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468405</xdr:colOff>
      <xdr:row>151</xdr:row>
      <xdr:rowOff>23814</xdr:rowOff>
    </xdr:from>
    <xdr:to>
      <xdr:col>6</xdr:col>
      <xdr:colOff>860835</xdr:colOff>
      <xdr:row>168</xdr:row>
      <xdr:rowOff>69759</xdr:rowOff>
    </xdr:to>
    <xdr:graphicFrame macro="">
      <xdr:nvGraphicFramePr>
        <xdr:cNvPr id="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311522</xdr:colOff>
      <xdr:row>134</xdr:row>
      <xdr:rowOff>44824</xdr:rowOff>
    </xdr:from>
    <xdr:to>
      <xdr:col>3</xdr:col>
      <xdr:colOff>320486</xdr:colOff>
      <xdr:row>150</xdr:row>
      <xdr:rowOff>96092</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172</xdr:row>
      <xdr:rowOff>53789</xdr:rowOff>
    </xdr:from>
    <xdr:to>
      <xdr:col>7</xdr:col>
      <xdr:colOff>0</xdr:colOff>
      <xdr:row>215</xdr:row>
      <xdr:rowOff>39504</xdr:rowOff>
    </xdr:to>
    <xdr:graphicFrame macro="">
      <xdr:nvGraphicFramePr>
        <xdr:cNvPr id="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218</xdr:row>
      <xdr:rowOff>9365</xdr:rowOff>
    </xdr:from>
    <xdr:to>
      <xdr:col>6</xdr:col>
      <xdr:colOff>1165410</xdr:colOff>
      <xdr:row>253</xdr:row>
      <xdr:rowOff>13446</xdr:rowOff>
    </xdr:to>
    <xdr:graphicFrame macro="">
      <xdr:nvGraphicFramePr>
        <xdr:cNvPr id="2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71716</xdr:colOff>
      <xdr:row>254</xdr:row>
      <xdr:rowOff>125506</xdr:rowOff>
    </xdr:from>
    <xdr:to>
      <xdr:col>4</xdr:col>
      <xdr:colOff>1039905</xdr:colOff>
      <xdr:row>280</xdr:row>
      <xdr:rowOff>32897</xdr:rowOff>
    </xdr:to>
    <xdr:graphicFrame macro="">
      <xdr:nvGraphicFramePr>
        <xdr:cNvPr id="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0.82482</cdr:x>
      <cdr:y>0.78968</cdr:y>
    </cdr:from>
    <cdr:to>
      <cdr:x>0.98581</cdr:x>
      <cdr:y>0.88819</cdr:y>
    </cdr:to>
    <cdr:sp macro="" textlink="">
      <cdr:nvSpPr>
        <cdr:cNvPr id="2" name="TextBox 1"/>
        <cdr:cNvSpPr txBox="1"/>
      </cdr:nvSpPr>
      <cdr:spPr>
        <a:xfrm xmlns:a="http://schemas.openxmlformats.org/drawingml/2006/main">
          <a:off x="8791751" y="4958716"/>
          <a:ext cx="1715998" cy="6185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t>Loan, 5 Year Delay</a:t>
          </a:r>
        </a:p>
      </cdr:txBody>
    </cdr:sp>
  </cdr:relSizeAnchor>
  <cdr:relSizeAnchor xmlns:cdr="http://schemas.openxmlformats.org/drawingml/2006/chartDrawing">
    <cdr:from>
      <cdr:x>0.84743</cdr:x>
      <cdr:y>0.87784</cdr:y>
    </cdr:from>
    <cdr:to>
      <cdr:x>0.99633</cdr:x>
      <cdr:y>0.95657</cdr:y>
    </cdr:to>
    <cdr:sp macro="" textlink="In_Out!#REF!">
      <cdr:nvSpPr>
        <cdr:cNvPr id="5" name="TextBox 4"/>
        <cdr:cNvSpPr txBox="1"/>
      </cdr:nvSpPr>
      <cdr:spPr>
        <a:xfrm xmlns:a="http://schemas.openxmlformats.org/drawingml/2006/main">
          <a:off x="7691049" y="5550253"/>
          <a:ext cx="1351352" cy="4977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AFAB59C-1962-43C0-983D-A1B31B7859E1}" type="TxLink">
            <a:rPr lang="en-US" sz="1400" b="0" i="0" u="none" strike="noStrike">
              <a:solidFill>
                <a:srgbClr val="00B050"/>
              </a:solidFill>
              <a:latin typeface="Calibri"/>
            </a:rPr>
            <a:pPr/>
            <a:t> </a:t>
          </a:fld>
          <a:endParaRPr lang="en-US" sz="1400">
            <a:solidFill>
              <a:srgbClr val="00B050"/>
            </a:solidFill>
          </a:endParaRPr>
        </a:p>
      </cdr:txBody>
    </cdr:sp>
  </cdr:relSizeAnchor>
  <cdr:relSizeAnchor xmlns:cdr="http://schemas.openxmlformats.org/drawingml/2006/chartDrawing">
    <cdr:from>
      <cdr:x>0.8227</cdr:x>
      <cdr:y>0.6362</cdr:y>
    </cdr:from>
    <cdr:to>
      <cdr:x>0.99831</cdr:x>
      <cdr:y>0.78134</cdr:y>
    </cdr:to>
    <cdr:sp macro="" textlink="">
      <cdr:nvSpPr>
        <cdr:cNvPr id="3" name="TextBox 2"/>
        <cdr:cNvSpPr txBox="1"/>
      </cdr:nvSpPr>
      <cdr:spPr>
        <a:xfrm xmlns:a="http://schemas.openxmlformats.org/drawingml/2006/main">
          <a:off x="7466592" y="3932440"/>
          <a:ext cx="1593786" cy="8971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t>Loan, Immediate</a:t>
          </a:r>
          <a:r>
            <a:rPr lang="en-US" sz="1400" baseline="0"/>
            <a:t> Action</a:t>
          </a:r>
          <a:endParaRPr lang="en-US" sz="1400"/>
        </a:p>
      </cdr:txBody>
    </cdr:sp>
  </cdr:relSizeAnchor>
  <cdr:relSizeAnchor xmlns:cdr="http://schemas.openxmlformats.org/drawingml/2006/chartDrawing">
    <cdr:from>
      <cdr:x>0.8344</cdr:x>
      <cdr:y>0.68715</cdr:y>
    </cdr:from>
    <cdr:to>
      <cdr:x>1</cdr:x>
      <cdr:y>0.77571</cdr:y>
    </cdr:to>
    <cdr:sp macro="" textlink="In_Out!#REF!">
      <cdr:nvSpPr>
        <cdr:cNvPr id="6" name="TextBox 5"/>
        <cdr:cNvSpPr txBox="1"/>
      </cdr:nvSpPr>
      <cdr:spPr>
        <a:xfrm xmlns:a="http://schemas.openxmlformats.org/drawingml/2006/main">
          <a:off x="7572778" y="4344587"/>
          <a:ext cx="1502938" cy="5599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5796AD0-1E05-4E84-B4F5-00F896C2DD1C}" type="TxLink">
            <a:rPr lang="en-US" sz="1400" b="0" i="0" u="none" strike="noStrike">
              <a:solidFill>
                <a:srgbClr val="00B050"/>
              </a:solidFill>
              <a:latin typeface="Calibri"/>
            </a:rPr>
            <a:pPr/>
            <a:t> </a:t>
          </a:fld>
          <a:endParaRPr lang="en-US" sz="1400">
            <a:solidFill>
              <a:srgbClr val="00B050"/>
            </a:solidFill>
          </a:endParaRPr>
        </a:p>
      </cdr:txBody>
    </cdr:sp>
  </cdr:relSizeAnchor>
  <cdr:relSizeAnchor xmlns:cdr="http://schemas.openxmlformats.org/drawingml/2006/chartDrawing">
    <cdr:from>
      <cdr:x>0.82257</cdr:x>
      <cdr:y>0.49286</cdr:y>
    </cdr:from>
    <cdr:to>
      <cdr:x>0.98937</cdr:x>
      <cdr:y>0.5883</cdr:y>
    </cdr:to>
    <cdr:sp macro="" textlink="">
      <cdr:nvSpPr>
        <cdr:cNvPr id="8" name="TextBox 7"/>
        <cdr:cNvSpPr txBox="1"/>
      </cdr:nvSpPr>
      <cdr:spPr>
        <a:xfrm xmlns:a="http://schemas.openxmlformats.org/drawingml/2006/main">
          <a:off x="7465446" y="3116166"/>
          <a:ext cx="1513829" cy="603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t>Appropriation Awarded</a:t>
          </a:r>
          <a:r>
            <a:rPr lang="en-US" sz="1400" baseline="0"/>
            <a:t> Year 5</a:t>
          </a:r>
          <a:endParaRPr lang="en-US" sz="1400"/>
        </a:p>
      </cdr:txBody>
    </cdr:sp>
  </cdr:relSizeAnchor>
  <cdr:relSizeAnchor xmlns:cdr="http://schemas.openxmlformats.org/drawingml/2006/chartDrawing">
    <cdr:from>
      <cdr:x>0.86302</cdr:x>
      <cdr:y>0.56479</cdr:y>
    </cdr:from>
    <cdr:to>
      <cdr:x>0.99664</cdr:x>
      <cdr:y>0.629</cdr:y>
    </cdr:to>
    <cdr:sp macro="" textlink="In_Out!$H$32">
      <cdr:nvSpPr>
        <cdr:cNvPr id="9" name="TextBox 8"/>
        <cdr:cNvSpPr txBox="1"/>
      </cdr:nvSpPr>
      <cdr:spPr>
        <a:xfrm xmlns:a="http://schemas.openxmlformats.org/drawingml/2006/main">
          <a:off x="9198913" y="3546546"/>
          <a:ext cx="1424263" cy="403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A8F3E28-7C24-4A00-A52E-E2CA7DBA353B}" type="TxLink">
            <a:rPr lang="en-US" sz="1400" b="0" i="0" u="none" strike="noStrike">
              <a:solidFill>
                <a:srgbClr val="00B050"/>
              </a:solidFill>
              <a:latin typeface="Calibri"/>
            </a:rPr>
            <a:pPr/>
            <a:t> $1,720,856 </a:t>
          </a:fld>
          <a:endParaRPr lang="en-US" sz="1400">
            <a:solidFill>
              <a:srgbClr val="00B050"/>
            </a:solidFill>
          </a:endParaRPr>
        </a:p>
      </cdr:txBody>
    </cdr:sp>
  </cdr:relSizeAnchor>
  <cdr:relSizeAnchor xmlns:cdr="http://schemas.openxmlformats.org/drawingml/2006/chartDrawing">
    <cdr:from>
      <cdr:x>0.86145</cdr:x>
      <cdr:y>0.70085</cdr:y>
    </cdr:from>
    <cdr:to>
      <cdr:x>0.98172</cdr:x>
      <cdr:y>0.77488</cdr:y>
    </cdr:to>
    <cdr:sp macro="" textlink="In_Out!$H$33">
      <cdr:nvSpPr>
        <cdr:cNvPr id="10" name="TextBox 9"/>
        <cdr:cNvSpPr txBox="1"/>
      </cdr:nvSpPr>
      <cdr:spPr>
        <a:xfrm xmlns:a="http://schemas.openxmlformats.org/drawingml/2006/main">
          <a:off x="9182275" y="4400900"/>
          <a:ext cx="1281962" cy="4648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8F0898D-61BE-4E9D-B825-5D692F262DAD}" type="TxLink">
            <a:rPr lang="en-US" sz="1400" b="0" i="0" u="none" strike="noStrike">
              <a:solidFill>
                <a:srgbClr val="00B050"/>
              </a:solidFill>
              <a:latin typeface="Calibri"/>
            </a:rPr>
            <a:pPr/>
            <a:t> $1,739,051 </a:t>
          </a:fld>
          <a:endParaRPr lang="en-US" sz="1400">
            <a:solidFill>
              <a:srgbClr val="00B050"/>
            </a:solidFill>
          </a:endParaRPr>
        </a:p>
      </cdr:txBody>
    </cdr:sp>
  </cdr:relSizeAnchor>
  <cdr:relSizeAnchor xmlns:cdr="http://schemas.openxmlformats.org/drawingml/2006/chartDrawing">
    <cdr:from>
      <cdr:x>0.86286</cdr:x>
      <cdr:y>0.83119</cdr:y>
    </cdr:from>
    <cdr:to>
      <cdr:x>0.9876</cdr:x>
      <cdr:y>0.89317</cdr:y>
    </cdr:to>
    <cdr:sp macro="" textlink="In_Out!$H$34">
      <cdr:nvSpPr>
        <cdr:cNvPr id="11" name="TextBox 10"/>
        <cdr:cNvSpPr txBox="1"/>
      </cdr:nvSpPr>
      <cdr:spPr>
        <a:xfrm xmlns:a="http://schemas.openxmlformats.org/drawingml/2006/main">
          <a:off x="9197272" y="5219324"/>
          <a:ext cx="1329608" cy="3891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7DFBD69-5255-4F65-BE99-B5C28FC8CF32}" type="TxLink">
            <a:rPr lang="en-US" sz="1400" b="0" i="0" u="none" strike="noStrike">
              <a:solidFill>
                <a:srgbClr val="00B050"/>
              </a:solidFill>
              <a:latin typeface="Calibri"/>
            </a:rPr>
            <a:pPr/>
            <a:t> $979,990 </a:t>
          </a:fld>
          <a:endParaRPr lang="en-US" sz="1400">
            <a:solidFill>
              <a:srgbClr val="00B050"/>
            </a:solidFill>
          </a:endParaRPr>
        </a:p>
      </cdr:txBody>
    </cdr:sp>
  </cdr:relSizeAnchor>
  <cdr:relSizeAnchor xmlns:cdr="http://schemas.openxmlformats.org/drawingml/2006/chartDrawing">
    <cdr:from>
      <cdr:x>0.78638</cdr:x>
      <cdr:y>0.36684</cdr:y>
    </cdr:from>
    <cdr:to>
      <cdr:x>1</cdr:x>
      <cdr:y>0.50961</cdr:y>
    </cdr:to>
    <cdr:sp macro="" textlink="">
      <cdr:nvSpPr>
        <cdr:cNvPr id="4" name="TextBox 3"/>
        <cdr:cNvSpPr txBox="1"/>
      </cdr:nvSpPr>
      <cdr:spPr>
        <a:xfrm xmlns:a="http://schemas.openxmlformats.org/drawingml/2006/main">
          <a:off x="8382001" y="2303530"/>
          <a:ext cx="2277033" cy="8964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800"/>
            <a:t>Benefit compared</a:t>
          </a:r>
          <a:r>
            <a:rPr lang="en-US" sz="1800" baseline="0"/>
            <a:t> with No Action, Yr. 15:</a:t>
          </a:r>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18"/>
  <sheetViews>
    <sheetView showGridLines="0" tabSelected="1" workbookViewId="0">
      <selection activeCell="O7" sqref="O7"/>
    </sheetView>
  </sheetViews>
  <sheetFormatPr defaultRowHeight="14.4"/>
  <cols>
    <col min="1" max="1" width="9.6640625" style="21" customWidth="1"/>
  </cols>
  <sheetData>
    <row r="4" spans="1:12" s="1" customFormat="1" ht="37.799999999999997" customHeight="1">
      <c r="A4" s="225" t="s">
        <v>95</v>
      </c>
      <c r="B4" s="225"/>
      <c r="C4" s="225"/>
      <c r="D4" s="225"/>
      <c r="E4" s="225"/>
      <c r="F4" s="225"/>
      <c r="G4" s="225"/>
      <c r="H4" s="225"/>
      <c r="I4" s="225"/>
      <c r="J4" s="225"/>
      <c r="K4" s="225"/>
      <c r="L4" s="225"/>
    </row>
    <row r="5" spans="1:12" s="1" customFormat="1" ht="42.6" customHeight="1">
      <c r="A5" s="226" t="s">
        <v>96</v>
      </c>
      <c r="B5" s="226"/>
      <c r="C5" s="226"/>
      <c r="D5" s="226"/>
      <c r="E5" s="226"/>
      <c r="F5" s="226"/>
      <c r="G5" s="226"/>
      <c r="H5" s="226"/>
      <c r="I5" s="226"/>
      <c r="J5" s="226"/>
      <c r="K5" s="226"/>
      <c r="L5" s="226"/>
    </row>
    <row r="6" spans="1:12" s="224" customFormat="1" ht="6.6" customHeight="1">
      <c r="A6" s="104"/>
      <c r="B6" s="104"/>
      <c r="C6" s="104"/>
      <c r="D6" s="104"/>
      <c r="E6" s="104"/>
      <c r="F6" s="104"/>
      <c r="G6" s="104"/>
      <c r="H6" s="104"/>
      <c r="I6" s="104"/>
      <c r="J6" s="104"/>
      <c r="K6" s="104"/>
      <c r="L6" s="104"/>
    </row>
    <row r="7" spans="1:12" s="101" customFormat="1" ht="174.6" customHeight="1">
      <c r="A7" s="316" t="s">
        <v>197</v>
      </c>
      <c r="B7" s="227" t="s">
        <v>201</v>
      </c>
      <c r="C7" s="227"/>
      <c r="D7" s="227"/>
      <c r="E7" s="227"/>
      <c r="F7" s="227"/>
      <c r="G7" s="227"/>
      <c r="H7" s="227"/>
      <c r="I7" s="227"/>
      <c r="J7" s="227"/>
      <c r="K7" s="227"/>
      <c r="L7" s="227"/>
    </row>
    <row r="8" spans="1:12" ht="13.2" customHeight="1">
      <c r="A8" s="104"/>
      <c r="B8" s="104"/>
      <c r="C8" s="104"/>
      <c r="D8" s="104"/>
      <c r="E8" s="104"/>
      <c r="F8" s="104"/>
      <c r="G8" s="104"/>
      <c r="H8" s="104"/>
      <c r="I8" s="104"/>
      <c r="J8" s="104"/>
      <c r="K8" s="104"/>
      <c r="L8" s="104"/>
    </row>
    <row r="9" spans="1:12" ht="33" customHeight="1">
      <c r="A9" s="316" t="s">
        <v>198</v>
      </c>
      <c r="B9" s="228" t="s">
        <v>195</v>
      </c>
      <c r="C9" s="228"/>
      <c r="D9" s="228"/>
      <c r="E9" s="228"/>
      <c r="F9" s="228"/>
      <c r="G9" s="228"/>
      <c r="H9" s="228"/>
      <c r="I9" s="228"/>
      <c r="J9" s="228"/>
      <c r="K9" s="228"/>
      <c r="L9" s="228"/>
    </row>
    <row r="10" spans="1:12" ht="11.4" customHeight="1"/>
    <row r="11" spans="1:12" ht="31.2" customHeight="1">
      <c r="A11" s="316" t="s">
        <v>199</v>
      </c>
      <c r="B11" s="227" t="s">
        <v>196</v>
      </c>
      <c r="C11" s="227"/>
      <c r="D11" s="227"/>
      <c r="E11" s="227"/>
      <c r="F11" s="227"/>
      <c r="G11" s="227"/>
      <c r="H11" s="227"/>
      <c r="I11" s="227"/>
      <c r="J11" s="227"/>
      <c r="K11" s="227"/>
      <c r="L11" s="227"/>
    </row>
    <row r="12" spans="1:12" ht="12.6" customHeight="1">
      <c r="B12" s="227"/>
      <c r="C12" s="227"/>
      <c r="D12" s="227"/>
      <c r="E12" s="227"/>
      <c r="F12" s="227"/>
      <c r="G12" s="227"/>
      <c r="H12" s="227"/>
      <c r="I12" s="227"/>
      <c r="J12" s="227"/>
      <c r="K12" s="227"/>
      <c r="L12" s="227"/>
    </row>
    <row r="13" spans="1:12" ht="45" customHeight="1">
      <c r="A13" s="316" t="s">
        <v>104</v>
      </c>
      <c r="B13" s="227" t="s">
        <v>192</v>
      </c>
      <c r="C13" s="227"/>
      <c r="D13" s="227"/>
      <c r="E13" s="227"/>
      <c r="F13" s="227"/>
      <c r="G13" s="227"/>
      <c r="H13" s="227"/>
      <c r="I13" s="227"/>
      <c r="J13" s="227"/>
      <c r="K13" s="227"/>
      <c r="L13" s="227"/>
    </row>
    <row r="14" spans="1:12" ht="12" customHeight="1">
      <c r="B14" s="43"/>
      <c r="C14" s="43"/>
      <c r="D14" s="43"/>
      <c r="E14" s="43"/>
      <c r="F14" s="43"/>
      <c r="G14" s="43"/>
      <c r="H14" s="43"/>
      <c r="I14" s="43"/>
      <c r="J14" s="43"/>
      <c r="K14" s="43"/>
      <c r="L14" s="43"/>
    </row>
    <row r="15" spans="1:12" ht="74.400000000000006" customHeight="1">
      <c r="A15" s="315" t="s">
        <v>193</v>
      </c>
      <c r="B15" s="227" t="s">
        <v>200</v>
      </c>
      <c r="C15" s="227"/>
      <c r="D15" s="227"/>
      <c r="E15" s="227"/>
      <c r="F15" s="227"/>
      <c r="G15" s="227"/>
      <c r="H15" s="227"/>
      <c r="I15" s="227"/>
      <c r="J15" s="227"/>
      <c r="K15" s="227"/>
      <c r="L15" s="227"/>
    </row>
    <row r="16" spans="1:12" ht="58.8" customHeight="1">
      <c r="A16" s="315"/>
      <c r="B16" s="227"/>
      <c r="C16" s="227"/>
      <c r="D16" s="227"/>
      <c r="E16" s="227"/>
      <c r="F16" s="227"/>
      <c r="G16" s="227"/>
      <c r="H16" s="227"/>
      <c r="I16" s="227"/>
      <c r="J16" s="227"/>
      <c r="K16" s="227"/>
      <c r="L16" s="227"/>
    </row>
    <row r="17" spans="2:12">
      <c r="B17" s="42"/>
      <c r="C17" s="42"/>
      <c r="D17" s="42"/>
      <c r="E17" s="42"/>
      <c r="F17" s="42"/>
      <c r="G17" s="42"/>
      <c r="H17" s="42"/>
      <c r="I17" s="42"/>
      <c r="J17" s="42"/>
      <c r="K17" s="42"/>
      <c r="L17" s="42"/>
    </row>
    <row r="18" spans="2:12">
      <c r="B18" s="42"/>
      <c r="C18" s="42"/>
      <c r="D18" s="42"/>
      <c r="E18" s="42"/>
      <c r="F18" s="42"/>
      <c r="G18" s="42"/>
      <c r="H18" s="42"/>
      <c r="I18" s="42"/>
      <c r="J18" s="42"/>
      <c r="K18" s="42"/>
      <c r="L18" s="42"/>
    </row>
  </sheetData>
  <sheetProtection password="9919" sheet="1" objects="1" scenarios="1"/>
  <mergeCells count="8">
    <mergeCell ref="A4:L4"/>
    <mergeCell ref="A5:L5"/>
    <mergeCell ref="B13:L13"/>
    <mergeCell ref="B9:L9"/>
    <mergeCell ref="A15:A16"/>
    <mergeCell ref="B15:L16"/>
    <mergeCell ref="B11:L12"/>
    <mergeCell ref="B7:L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2"/>
  <sheetViews>
    <sheetView showGridLines="0" zoomScale="55" zoomScaleNormal="55" workbookViewId="0">
      <selection activeCell="A2" sqref="A2"/>
    </sheetView>
  </sheetViews>
  <sheetFormatPr defaultColWidth="14.6640625" defaultRowHeight="14.4"/>
  <cols>
    <col min="1" max="1" width="3.109375" style="1" customWidth="1"/>
    <col min="2" max="2" width="3" style="1" customWidth="1"/>
    <col min="3" max="3" width="34" style="1" customWidth="1"/>
    <col min="4" max="4" width="32.6640625" style="1" customWidth="1"/>
    <col min="5" max="5" width="30.88671875" style="1" bestFit="1" customWidth="1"/>
    <col min="6" max="6" width="23.33203125" style="1" bestFit="1" customWidth="1"/>
    <col min="7" max="7" width="34" style="1" bestFit="1" customWidth="1"/>
    <col min="8" max="8" width="23.6640625" style="1" bestFit="1" customWidth="1"/>
    <col min="9" max="9" width="26" style="1" customWidth="1"/>
    <col min="10" max="10" width="36.33203125" style="1" bestFit="1" customWidth="1"/>
    <col min="11" max="11" width="17.5546875" style="1" customWidth="1"/>
    <col min="12" max="12" width="22.5546875" style="1" customWidth="1"/>
    <col min="13" max="13" width="14.33203125" style="1" customWidth="1"/>
    <col min="14" max="16384" width="14.6640625" style="1"/>
  </cols>
  <sheetData>
    <row r="1" spans="1:15" s="62" customFormat="1" ht="25.2" customHeight="1">
      <c r="A1" s="253" t="s">
        <v>194</v>
      </c>
      <c r="B1" s="253"/>
      <c r="C1" s="253"/>
      <c r="D1" s="253"/>
      <c r="E1" s="253"/>
      <c r="F1" s="253"/>
      <c r="G1" s="253"/>
      <c r="H1" s="253"/>
      <c r="I1" s="253"/>
      <c r="J1" s="253"/>
    </row>
    <row r="2" spans="1:15" ht="13.2" customHeight="1">
      <c r="A2" s="106"/>
      <c r="B2" s="106"/>
      <c r="C2" s="106"/>
      <c r="D2" s="106"/>
      <c r="E2" s="106"/>
      <c r="F2" s="106"/>
      <c r="G2" s="106"/>
      <c r="H2" s="106"/>
      <c r="I2" s="106"/>
      <c r="J2" s="106"/>
    </row>
    <row r="3" spans="1:15" s="64" customFormat="1" ht="40.950000000000003" customHeight="1">
      <c r="A3" s="261" t="s">
        <v>95</v>
      </c>
      <c r="B3" s="261"/>
      <c r="C3" s="261"/>
      <c r="D3" s="261"/>
      <c r="E3" s="261"/>
      <c r="F3" s="261"/>
      <c r="G3" s="261"/>
      <c r="H3" s="261"/>
      <c r="I3" s="261"/>
      <c r="J3" s="261"/>
      <c r="K3" s="63"/>
      <c r="L3" s="63"/>
    </row>
    <row r="4" spans="1:15" s="64" customFormat="1" ht="40.950000000000003" customHeight="1">
      <c r="A4" s="262" t="s">
        <v>96</v>
      </c>
      <c r="B4" s="262"/>
      <c r="C4" s="262"/>
      <c r="D4" s="262"/>
      <c r="E4" s="262"/>
      <c r="F4" s="262"/>
      <c r="G4" s="262"/>
      <c r="H4" s="262"/>
      <c r="I4" s="262"/>
      <c r="J4" s="262"/>
      <c r="K4" s="65"/>
      <c r="L4" s="65"/>
    </row>
    <row r="5" spans="1:15" ht="30" customHeight="1">
      <c r="A5" s="234" t="s">
        <v>105</v>
      </c>
      <c r="B5" s="235"/>
      <c r="C5" s="235"/>
      <c r="D5" s="235"/>
      <c r="E5" s="235"/>
      <c r="F5" s="235"/>
      <c r="G5" s="235"/>
      <c r="H5" s="235"/>
      <c r="I5" s="235"/>
      <c r="J5" s="235"/>
      <c r="K5" s="47"/>
      <c r="L5" s="48"/>
    </row>
    <row r="6" spans="1:15" s="64" customFormat="1" ht="36" customHeight="1" thickBot="1">
      <c r="A6" s="107"/>
      <c r="B6" s="108"/>
      <c r="C6" s="145" t="s">
        <v>65</v>
      </c>
      <c r="D6" s="145"/>
      <c r="E6" s="145"/>
      <c r="F6" s="145"/>
      <c r="G6" s="145"/>
      <c r="H6" s="145"/>
      <c r="I6" s="145"/>
      <c r="J6" s="146" t="s">
        <v>57</v>
      </c>
      <c r="K6" s="61"/>
      <c r="L6" s="61"/>
      <c r="N6" s="66"/>
      <c r="O6" s="66"/>
    </row>
    <row r="7" spans="1:15" ht="45.75" customHeight="1" thickTop="1" thickBot="1">
      <c r="A7" s="109"/>
      <c r="B7" s="109"/>
      <c r="C7" s="148" t="s">
        <v>83</v>
      </c>
      <c r="D7" s="149">
        <v>460000</v>
      </c>
      <c r="E7" s="148" t="s">
        <v>88</v>
      </c>
      <c r="F7" s="150">
        <v>563000</v>
      </c>
      <c r="G7" s="148" t="s">
        <v>68</v>
      </c>
      <c r="H7" s="151">
        <v>6</v>
      </c>
      <c r="I7" s="147"/>
      <c r="J7" s="152" t="s">
        <v>56</v>
      </c>
      <c r="K7" s="15"/>
      <c r="L7" s="15"/>
    </row>
    <row r="8" spans="1:15" ht="54.75" customHeight="1" thickTop="1" thickBot="1">
      <c r="A8" s="109"/>
      <c r="B8" s="111"/>
      <c r="C8" s="148" t="s">
        <v>124</v>
      </c>
      <c r="D8" s="149">
        <v>317000</v>
      </c>
      <c r="E8" s="148" t="s">
        <v>190</v>
      </c>
      <c r="F8" s="150">
        <v>84450</v>
      </c>
      <c r="G8" s="153" t="s">
        <v>86</v>
      </c>
      <c r="H8" s="154">
        <v>2.5000000000000001E-2</v>
      </c>
      <c r="I8" s="132"/>
      <c r="J8" s="254" t="s">
        <v>191</v>
      </c>
    </row>
    <row r="9" spans="1:15" ht="54.75" customHeight="1" thickTop="1" thickBot="1">
      <c r="A9" s="109"/>
      <c r="B9" s="109"/>
      <c r="C9" s="148" t="s">
        <v>107</v>
      </c>
      <c r="D9" s="177">
        <f>D7-D8</f>
        <v>143000</v>
      </c>
      <c r="E9" s="148" t="s">
        <v>38</v>
      </c>
      <c r="F9" s="150">
        <v>16890</v>
      </c>
      <c r="G9" s="148" t="s">
        <v>55</v>
      </c>
      <c r="H9" s="151">
        <v>12</v>
      </c>
      <c r="I9" s="132"/>
      <c r="J9" s="255"/>
    </row>
    <row r="10" spans="1:15" ht="57.75" customHeight="1" thickTop="1" thickBot="1">
      <c r="A10" s="109"/>
      <c r="B10" s="109"/>
      <c r="C10" s="148" t="s">
        <v>84</v>
      </c>
      <c r="D10" s="178">
        <f>D9/D7</f>
        <v>0.31086956521739129</v>
      </c>
      <c r="E10" s="148" t="s">
        <v>39</v>
      </c>
      <c r="F10" s="150">
        <v>56300</v>
      </c>
      <c r="G10" s="148" t="s">
        <v>1</v>
      </c>
      <c r="H10" s="155">
        <v>0</v>
      </c>
      <c r="I10" s="132"/>
      <c r="J10" s="256" t="s">
        <v>137</v>
      </c>
    </row>
    <row r="11" spans="1:15" ht="45.6" customHeight="1" thickTop="1" thickBot="1">
      <c r="A11" s="109"/>
      <c r="B11" s="109"/>
      <c r="C11" s="148" t="s">
        <v>85</v>
      </c>
      <c r="D11" s="156">
        <v>0.02</v>
      </c>
      <c r="E11" s="148" t="s">
        <v>74</v>
      </c>
      <c r="F11" s="179">
        <f>SUM(F7:F10)-H10</f>
        <v>720640</v>
      </c>
      <c r="G11" s="148" t="s">
        <v>123</v>
      </c>
      <c r="H11" s="157">
        <v>0.08</v>
      </c>
      <c r="I11" s="132"/>
      <c r="J11" s="257"/>
    </row>
    <row r="12" spans="1:15" ht="38.25" customHeight="1" thickTop="1" thickBot="1">
      <c r="A12" s="109"/>
      <c r="B12" s="109"/>
      <c r="C12" s="148" t="s">
        <v>171</v>
      </c>
      <c r="D12" s="158">
        <v>15</v>
      </c>
      <c r="E12" s="132"/>
      <c r="F12" s="132"/>
      <c r="G12" s="132"/>
      <c r="H12" s="132"/>
      <c r="I12" s="132"/>
      <c r="J12" s="132"/>
    </row>
    <row r="13" spans="1:15" ht="15.6" customHeight="1" thickTop="1">
      <c r="A13" s="109"/>
      <c r="B13" s="109"/>
      <c r="C13" s="109"/>
      <c r="D13" s="109"/>
      <c r="E13" s="109"/>
      <c r="F13" s="109"/>
      <c r="G13" s="109"/>
      <c r="H13" s="109"/>
      <c r="I13" s="109"/>
      <c r="J13" s="109"/>
    </row>
    <row r="14" spans="1:15" ht="16.5" customHeight="1">
      <c r="A14" s="109"/>
      <c r="B14" s="109"/>
      <c r="C14" s="109"/>
      <c r="D14" s="109"/>
      <c r="E14" s="109"/>
      <c r="F14" s="109"/>
      <c r="G14" s="109"/>
      <c r="H14" s="109"/>
      <c r="I14" s="109"/>
      <c r="J14" s="109"/>
    </row>
    <row r="15" spans="1:15" ht="16.5" customHeight="1">
      <c r="A15" s="109"/>
      <c r="B15" s="109"/>
      <c r="C15" s="112" t="s">
        <v>144</v>
      </c>
      <c r="D15" s="110"/>
      <c r="E15" s="110"/>
      <c r="F15" s="113"/>
      <c r="G15" s="113"/>
      <c r="H15" s="113"/>
      <c r="I15" s="113"/>
      <c r="J15" s="113"/>
    </row>
    <row r="16" spans="1:15" ht="22.5" customHeight="1">
      <c r="A16" s="109"/>
      <c r="B16" s="114"/>
      <c r="C16" s="163"/>
      <c r="D16" s="163"/>
      <c r="E16" s="164"/>
      <c r="F16" s="115"/>
      <c r="G16" s="116" t="s">
        <v>125</v>
      </c>
      <c r="H16" s="117" t="s">
        <v>143</v>
      </c>
      <c r="I16" s="118" t="s">
        <v>126</v>
      </c>
      <c r="J16" s="119" t="s">
        <v>129</v>
      </c>
      <c r="K16"/>
      <c r="L16"/>
      <c r="M16"/>
      <c r="N16"/>
    </row>
    <row r="17" spans="1:28" ht="15" customHeight="1">
      <c r="A17" s="109"/>
      <c r="B17" s="114"/>
      <c r="C17" s="165"/>
      <c r="D17" s="165"/>
      <c r="E17" s="166"/>
      <c r="F17" s="115"/>
      <c r="G17" s="243">
        <f>In_Out!F11</f>
        <v>720640</v>
      </c>
      <c r="H17" s="245">
        <f>AVERAGE(Cashflows!F54:F68)</f>
        <v>168161.18609319179</v>
      </c>
      <c r="I17" s="247">
        <f>In_Out!F11/In_Out!D9</f>
        <v>5.0394405594405596</v>
      </c>
      <c r="J17" s="248">
        <f>Calculations!E439</f>
        <v>1.94</v>
      </c>
      <c r="K17"/>
      <c r="L17"/>
      <c r="M17"/>
      <c r="N17"/>
    </row>
    <row r="18" spans="1:28" ht="25.2" customHeight="1">
      <c r="A18" s="109"/>
      <c r="B18" s="114"/>
      <c r="C18" s="258" t="s">
        <v>172</v>
      </c>
      <c r="D18" s="259"/>
      <c r="E18" s="260"/>
      <c r="F18" s="115"/>
      <c r="G18" s="244"/>
      <c r="H18" s="246"/>
      <c r="I18" s="247"/>
      <c r="J18" s="249"/>
      <c r="K18"/>
      <c r="L18"/>
      <c r="M18"/>
      <c r="N18"/>
    </row>
    <row r="19" spans="1:28" ht="22.5" customHeight="1">
      <c r="A19" s="109"/>
      <c r="B19" s="114"/>
      <c r="C19" s="167"/>
      <c r="D19" s="168"/>
      <c r="E19" s="169"/>
      <c r="F19" s="115"/>
      <c r="G19" s="120"/>
      <c r="H19" s="121"/>
      <c r="I19" s="121"/>
      <c r="J19" s="122"/>
      <c r="K19"/>
      <c r="L19"/>
      <c r="M19"/>
      <c r="N19"/>
    </row>
    <row r="20" spans="1:28" ht="22.5" customHeight="1">
      <c r="A20" s="109"/>
      <c r="B20" s="114"/>
      <c r="C20" s="231">
        <f xml:space="preserve"> VLOOKUP(D12,Cashflows!A53:I74,9,FALSE)</f>
        <v>1739051.3728915132</v>
      </c>
      <c r="D20" s="232"/>
      <c r="E20" s="233"/>
      <c r="F20" s="115"/>
      <c r="G20" s="116" t="s">
        <v>130</v>
      </c>
      <c r="H20" s="118" t="s">
        <v>127</v>
      </c>
      <c r="I20" s="118" t="s">
        <v>173</v>
      </c>
      <c r="J20" s="119" t="s">
        <v>128</v>
      </c>
      <c r="K20"/>
      <c r="L20"/>
      <c r="M20"/>
      <c r="N20"/>
    </row>
    <row r="21" spans="1:28" ht="15" customHeight="1">
      <c r="A21" s="109"/>
      <c r="B21" s="114"/>
      <c r="C21" s="170"/>
      <c r="D21" s="170"/>
      <c r="E21" s="171"/>
      <c r="F21" s="115"/>
      <c r="G21" s="250">
        <f>AVERAGE(Cashflows!H54:H68)</f>
        <v>115936.75819276755</v>
      </c>
      <c r="H21" s="251">
        <f>Calculations!E441</f>
        <v>0.21</v>
      </c>
      <c r="I21" s="251">
        <f>Calculations!E444</f>
        <v>0.13</v>
      </c>
      <c r="J21" s="252">
        <f>Calculations!E437</f>
        <v>678953.88611140219</v>
      </c>
      <c r="K21"/>
      <c r="L21"/>
      <c r="M21"/>
      <c r="N21"/>
    </row>
    <row r="22" spans="1:28" ht="15" customHeight="1">
      <c r="A22" s="109"/>
      <c r="B22" s="114"/>
      <c r="C22" s="165"/>
      <c r="D22" s="165"/>
      <c r="E22" s="166"/>
      <c r="F22" s="115"/>
      <c r="G22" s="250"/>
      <c r="H22" s="246"/>
      <c r="I22" s="246"/>
      <c r="J22" s="249"/>
      <c r="K22"/>
      <c r="L22"/>
      <c r="M22"/>
      <c r="N22"/>
    </row>
    <row r="23" spans="1:28" ht="21">
      <c r="A23" s="109"/>
      <c r="B23" s="114"/>
      <c r="C23" s="172"/>
      <c r="D23" s="172"/>
      <c r="E23" s="173"/>
      <c r="F23" s="115"/>
      <c r="G23" s="123"/>
      <c r="H23" s="124"/>
      <c r="I23" s="124"/>
      <c r="J23" s="125"/>
      <c r="K23"/>
      <c r="L23"/>
      <c r="M23" s="105"/>
      <c r="N23"/>
    </row>
    <row r="24" spans="1:28" ht="15">
      <c r="A24" s="109"/>
      <c r="B24" s="109"/>
      <c r="C24" s="242" t="str">
        <f>"Assumed Project Life: " &amp; Calculations!E434 &amp;" years"</f>
        <v>Assumed Project Life: 15 years</v>
      </c>
      <c r="D24" s="242"/>
      <c r="E24" s="242"/>
      <c r="F24" s="126"/>
      <c r="G24" s="120" t="str">
        <f xml:space="preserve"> "Discount Rate: " &amp; TEXT(H11,"0.0%")</f>
        <v>Discount Rate: 8.0%</v>
      </c>
      <c r="H24" s="121" t="str">
        <f>"Term: " &amp; H7 &amp; " years"</f>
        <v>Term: 6 years</v>
      </c>
      <c r="I24" s="121" t="str">
        <f>"Utility Esc. Rate: " &amp; TEXT(D11,"0.0%")</f>
        <v>Utility Esc. Rate: 2.0%</v>
      </c>
      <c r="J24" s="122" t="str">
        <f>"Annual Payment: "&amp;TEXT(F42,"$#,0")</f>
        <v>Annual Payment: $130,561</v>
      </c>
      <c r="K24"/>
      <c r="L24"/>
      <c r="M24"/>
      <c r="N24"/>
    </row>
    <row r="25" spans="1:28" ht="15">
      <c r="A25" s="109"/>
      <c r="B25" s="109"/>
      <c r="C25" s="109"/>
      <c r="D25" s="109"/>
      <c r="E25" s="109"/>
      <c r="F25" s="126"/>
      <c r="G25" s="120"/>
      <c r="H25" s="121"/>
      <c r="I25" s="127"/>
      <c r="J25" s="128"/>
      <c r="K25"/>
      <c r="L25"/>
      <c r="M25"/>
      <c r="N25"/>
    </row>
    <row r="26" spans="1:28" ht="15">
      <c r="A26" s="109"/>
      <c r="B26" s="109"/>
      <c r="C26" s="109"/>
      <c r="D26" s="109"/>
      <c r="E26" s="109"/>
      <c r="F26" s="126"/>
      <c r="G26" s="236" t="s">
        <v>174</v>
      </c>
      <c r="H26" s="237"/>
      <c r="I26" s="237"/>
      <c r="J26" s="238"/>
      <c r="K26"/>
      <c r="L26"/>
      <c r="M26"/>
      <c r="N26"/>
    </row>
    <row r="27" spans="1:28" ht="15">
      <c r="A27" s="109"/>
      <c r="B27" s="109"/>
      <c r="C27" s="109"/>
      <c r="D27" s="109"/>
      <c r="E27" s="109"/>
      <c r="F27" s="126"/>
      <c r="G27" s="239" t="s">
        <v>122</v>
      </c>
      <c r="H27" s="240"/>
      <c r="I27" s="240"/>
      <c r="J27" s="241"/>
      <c r="K27"/>
      <c r="L27"/>
      <c r="M27"/>
      <c r="N27"/>
    </row>
    <row r="28" spans="1:28" ht="15">
      <c r="A28" s="109"/>
      <c r="B28" s="109"/>
      <c r="C28" s="109"/>
      <c r="D28" s="109"/>
      <c r="E28" s="109"/>
      <c r="F28" s="109"/>
      <c r="G28" s="129"/>
      <c r="H28" s="129"/>
      <c r="I28" s="129"/>
      <c r="J28" s="129"/>
      <c r="K28"/>
      <c r="L28"/>
      <c r="M28"/>
      <c r="N28" s="13"/>
    </row>
    <row r="29" spans="1:28" ht="15">
      <c r="A29" s="129"/>
      <c r="B29" s="129"/>
      <c r="C29" s="109"/>
      <c r="D29" s="109"/>
      <c r="E29" s="109"/>
      <c r="F29" s="109"/>
      <c r="G29" s="109"/>
      <c r="H29" s="109"/>
      <c r="I29" s="129"/>
      <c r="J29" s="129"/>
      <c r="K29"/>
      <c r="L29"/>
      <c r="M29"/>
      <c r="N29" s="13"/>
      <c r="O29"/>
      <c r="P29"/>
      <c r="Q29"/>
      <c r="R29"/>
      <c r="S29"/>
      <c r="T29"/>
      <c r="U29"/>
      <c r="V29"/>
      <c r="W29"/>
      <c r="X29"/>
      <c r="Y29"/>
      <c r="Z29"/>
      <c r="AA29"/>
      <c r="AB29"/>
    </row>
    <row r="30" spans="1:28" ht="21.6">
      <c r="A30" s="129"/>
      <c r="B30" s="129"/>
      <c r="C30" s="131" t="s">
        <v>146</v>
      </c>
      <c r="D30" s="132"/>
      <c r="E30" s="132"/>
      <c r="F30" s="132"/>
      <c r="G30" s="132"/>
      <c r="H30" s="132"/>
      <c r="I30" s="129"/>
      <c r="J30" s="129"/>
      <c r="K30"/>
      <c r="L30"/>
      <c r="M30"/>
      <c r="N30" s="13"/>
      <c r="O30"/>
      <c r="P30"/>
      <c r="Q30"/>
      <c r="R30"/>
      <c r="S30"/>
      <c r="T30"/>
      <c r="U30"/>
      <c r="V30"/>
      <c r="W30"/>
      <c r="X30"/>
      <c r="Y30"/>
      <c r="Z30"/>
      <c r="AA30"/>
      <c r="AB30"/>
    </row>
    <row r="31" spans="1:28" ht="86.4">
      <c r="A31" s="129"/>
      <c r="B31" s="129"/>
      <c r="C31" s="175"/>
      <c r="D31" s="176" t="s">
        <v>54</v>
      </c>
      <c r="E31" s="133" t="s">
        <v>145</v>
      </c>
      <c r="F31" s="134" t="s">
        <v>102</v>
      </c>
      <c r="G31" s="135" t="s">
        <v>103</v>
      </c>
      <c r="H31" s="136" t="s">
        <v>69</v>
      </c>
      <c r="I31" s="109"/>
      <c r="J31" s="130" t="s">
        <v>131</v>
      </c>
      <c r="K31"/>
      <c r="L31"/>
      <c r="M31"/>
      <c r="N31"/>
      <c r="O31"/>
      <c r="P31"/>
      <c r="Q31"/>
      <c r="R31"/>
      <c r="S31"/>
      <c r="T31"/>
      <c r="U31"/>
      <c r="V31"/>
      <c r="W31"/>
      <c r="X31"/>
      <c r="Y31"/>
      <c r="Z31"/>
      <c r="AA31"/>
      <c r="AB31"/>
    </row>
    <row r="32" spans="1:28" ht="43.2">
      <c r="A32" s="129"/>
      <c r="B32" s="129"/>
      <c r="C32" s="137" t="s">
        <v>109</v>
      </c>
      <c r="D32" s="159">
        <f>Cashflows!D18</f>
        <v>-6853214.7234238042</v>
      </c>
      <c r="E32" s="160">
        <f>In_Out!D32-In_Out!D32</f>
        <v>0</v>
      </c>
      <c r="F32" s="159">
        <f>D32-D33</f>
        <v>-18194.879231236875</v>
      </c>
      <c r="G32" s="159">
        <f>D32-D34</f>
        <v>740866.41850636341</v>
      </c>
      <c r="H32" s="159">
        <f>D32-D35</f>
        <v>1720856.4936602777</v>
      </c>
      <c r="I32" s="109"/>
      <c r="J32" s="129"/>
      <c r="K32"/>
      <c r="L32"/>
      <c r="M32"/>
      <c r="N32"/>
      <c r="O32"/>
      <c r="P32"/>
      <c r="Q32"/>
      <c r="R32"/>
      <c r="S32"/>
      <c r="T32"/>
      <c r="U32"/>
      <c r="V32"/>
      <c r="W32"/>
      <c r="X32"/>
      <c r="Y32"/>
      <c r="Z32"/>
      <c r="AA32"/>
      <c r="AB32"/>
    </row>
    <row r="33" spans="1:28" ht="21.6">
      <c r="A33" s="129"/>
      <c r="B33" s="129"/>
      <c r="C33" s="138" t="s">
        <v>93</v>
      </c>
      <c r="D33" s="160">
        <f>Cashflows!H18</f>
        <v>-6835019.8441925673</v>
      </c>
      <c r="E33" s="160">
        <f>D33-D32</f>
        <v>18194.879231236875</v>
      </c>
      <c r="F33" s="160">
        <f>D33-D33</f>
        <v>0</v>
      </c>
      <c r="G33" s="160">
        <f>D33-D34</f>
        <v>759061.29773760028</v>
      </c>
      <c r="H33" s="160">
        <f>D33-D35</f>
        <v>1739051.3728915146</v>
      </c>
      <c r="I33" s="109"/>
      <c r="J33" s="129"/>
      <c r="K33"/>
      <c r="L33"/>
      <c r="M33"/>
      <c r="N33"/>
      <c r="O33"/>
      <c r="P33"/>
      <c r="Q33"/>
      <c r="R33"/>
      <c r="S33"/>
      <c r="T33"/>
      <c r="U33"/>
      <c r="V33"/>
      <c r="W33"/>
      <c r="X33"/>
      <c r="Y33"/>
      <c r="Z33"/>
      <c r="AA33"/>
      <c r="AB33"/>
    </row>
    <row r="34" spans="1:28" ht="21.6">
      <c r="A34" s="129"/>
      <c r="B34" s="129"/>
      <c r="C34" s="139" t="s">
        <v>78</v>
      </c>
      <c r="D34" s="160">
        <f>Cashflows!L18</f>
        <v>-7594081.1419301676</v>
      </c>
      <c r="E34" s="160">
        <f>D34-D32</f>
        <v>-740866.41850636341</v>
      </c>
      <c r="F34" s="160">
        <f>D34-D33</f>
        <v>-759061.29773760028</v>
      </c>
      <c r="G34" s="160">
        <f>D34-D34</f>
        <v>0</v>
      </c>
      <c r="H34" s="160">
        <f>D34-D35</f>
        <v>979990.07515391428</v>
      </c>
      <c r="I34" s="109"/>
      <c r="J34" s="129"/>
      <c r="K34"/>
      <c r="L34"/>
      <c r="M34"/>
      <c r="N34"/>
      <c r="O34"/>
      <c r="P34"/>
      <c r="Q34"/>
      <c r="R34"/>
      <c r="S34"/>
      <c r="T34"/>
      <c r="U34"/>
      <c r="V34"/>
      <c r="W34"/>
      <c r="X34"/>
      <c r="Y34"/>
      <c r="Z34"/>
      <c r="AA34"/>
      <c r="AB34"/>
    </row>
    <row r="35" spans="1:28" ht="21.6">
      <c r="A35" s="129"/>
      <c r="B35" s="129"/>
      <c r="C35" s="140" t="s">
        <v>42</v>
      </c>
      <c r="D35" s="160">
        <f>Cashflows!P18</f>
        <v>-8574071.2170840818</v>
      </c>
      <c r="E35" s="160">
        <f>D35-D32</f>
        <v>-1720856.4936602777</v>
      </c>
      <c r="F35" s="160">
        <f>D35-D33</f>
        <v>-1739051.3728915146</v>
      </c>
      <c r="G35" s="160">
        <f>D35-D34</f>
        <v>-979990.07515391428</v>
      </c>
      <c r="H35" s="160">
        <f>D35-D35</f>
        <v>0</v>
      </c>
      <c r="I35" s="109"/>
      <c r="J35" s="129"/>
      <c r="K35"/>
      <c r="L35"/>
      <c r="M35"/>
      <c r="N35"/>
      <c r="O35"/>
      <c r="P35"/>
      <c r="Q35"/>
      <c r="R35"/>
      <c r="S35"/>
      <c r="T35"/>
      <c r="U35"/>
      <c r="V35"/>
      <c r="W35"/>
      <c r="X35"/>
      <c r="Y35"/>
      <c r="Z35"/>
      <c r="AA35"/>
      <c r="AB35"/>
    </row>
    <row r="36" spans="1:28" ht="21.6">
      <c r="A36" s="129"/>
      <c r="B36" s="129"/>
      <c r="C36" s="141"/>
      <c r="D36" s="141"/>
      <c r="E36" s="141"/>
      <c r="F36" s="141"/>
      <c r="G36" s="141"/>
      <c r="H36" s="141"/>
      <c r="I36" s="129"/>
      <c r="J36" s="129"/>
      <c r="K36"/>
      <c r="L36"/>
      <c r="M36"/>
      <c r="N36"/>
      <c r="O36"/>
      <c r="P36"/>
      <c r="Q36"/>
      <c r="R36"/>
      <c r="S36"/>
      <c r="T36"/>
      <c r="U36"/>
      <c r="V36"/>
      <c r="W36"/>
      <c r="X36"/>
      <c r="Y36"/>
      <c r="Z36"/>
      <c r="AA36"/>
      <c r="AB36"/>
    </row>
    <row r="37" spans="1:28" ht="18.600000000000001" customHeight="1">
      <c r="A37" s="129"/>
      <c r="B37" s="129"/>
      <c r="C37" s="141"/>
      <c r="D37" s="141"/>
      <c r="E37" s="141"/>
      <c r="F37" s="141"/>
      <c r="G37" s="132"/>
      <c r="H37" s="141"/>
      <c r="I37" s="129"/>
      <c r="J37" s="129"/>
      <c r="K37"/>
      <c r="L37"/>
      <c r="M37"/>
      <c r="N37"/>
      <c r="O37"/>
      <c r="P37"/>
      <c r="Q37"/>
      <c r="R37"/>
      <c r="S37"/>
      <c r="T37"/>
      <c r="U37"/>
      <c r="V37"/>
      <c r="W37"/>
      <c r="X37"/>
      <c r="Y37"/>
      <c r="Z37"/>
      <c r="AA37"/>
      <c r="AB37"/>
    </row>
    <row r="38" spans="1:28" ht="21.6">
      <c r="A38" s="129"/>
      <c r="B38" s="129"/>
      <c r="C38" s="141"/>
      <c r="D38" s="141"/>
      <c r="E38" s="141"/>
      <c r="F38" s="141"/>
      <c r="G38" s="141"/>
      <c r="H38" s="141"/>
      <c r="I38" s="129"/>
      <c r="J38" s="129"/>
      <c r="K38"/>
      <c r="L38"/>
      <c r="M38"/>
      <c r="N38"/>
      <c r="O38"/>
      <c r="P38"/>
      <c r="Q38"/>
      <c r="R38"/>
      <c r="S38"/>
      <c r="T38"/>
      <c r="U38"/>
      <c r="V38"/>
      <c r="W38"/>
      <c r="X38"/>
      <c r="Y38"/>
      <c r="Z38"/>
      <c r="AA38"/>
      <c r="AB38"/>
    </row>
    <row r="39" spans="1:28" ht="18.600000000000001" customHeight="1" thickBot="1">
      <c r="A39" s="129"/>
      <c r="B39" s="129"/>
      <c r="C39" s="142" t="s">
        <v>140</v>
      </c>
      <c r="D39" s="143"/>
      <c r="E39" s="143"/>
      <c r="F39" s="144"/>
      <c r="G39" s="141"/>
      <c r="H39" s="141"/>
      <c r="I39" s="129"/>
      <c r="J39" s="129"/>
      <c r="K39"/>
      <c r="L39"/>
      <c r="M39"/>
      <c r="N39"/>
      <c r="O39"/>
      <c r="P39"/>
      <c r="Q39"/>
      <c r="R39"/>
      <c r="S39"/>
      <c r="T39"/>
      <c r="U39"/>
      <c r="V39"/>
      <c r="W39"/>
      <c r="X39"/>
      <c r="Y39"/>
      <c r="Z39"/>
      <c r="AA39"/>
      <c r="AB39"/>
    </row>
    <row r="40" spans="1:28" ht="36" customHeight="1" thickTop="1" thickBot="1">
      <c r="A40" s="129"/>
      <c r="B40" s="129"/>
      <c r="C40" s="161" t="s">
        <v>70</v>
      </c>
      <c r="D40" s="174">
        <f>SUM(F11)*0.005+2500</f>
        <v>6103.2000000000007</v>
      </c>
      <c r="E40" s="161" t="s">
        <v>15</v>
      </c>
      <c r="F40" s="174">
        <f>Calculations!C11</f>
        <v>10880.089145921724</v>
      </c>
      <c r="G40" s="141"/>
      <c r="H40" s="141"/>
      <c r="I40" s="129"/>
      <c r="J40" s="129"/>
      <c r="K40"/>
      <c r="L40"/>
      <c r="M40"/>
      <c r="N40"/>
      <c r="O40"/>
      <c r="P40"/>
      <c r="Q40"/>
      <c r="R40"/>
      <c r="S40"/>
      <c r="T40"/>
      <c r="U40"/>
      <c r="V40"/>
      <c r="W40"/>
      <c r="X40"/>
      <c r="Y40"/>
      <c r="Z40"/>
      <c r="AA40"/>
      <c r="AB40"/>
    </row>
    <row r="41" spans="1:28" ht="46.5" customHeight="1" thickTop="1" thickBot="1">
      <c r="A41" s="129"/>
      <c r="B41" s="129"/>
      <c r="C41" s="162" t="s">
        <v>12</v>
      </c>
      <c r="D41" s="174">
        <f>F11+D40</f>
        <v>726743.2</v>
      </c>
      <c r="E41" s="161" t="s">
        <v>71</v>
      </c>
      <c r="F41" s="174">
        <f>F40*3</f>
        <v>32640.267437765171</v>
      </c>
      <c r="G41" s="141"/>
      <c r="H41" s="141"/>
      <c r="I41" s="129"/>
      <c r="J41" s="129"/>
      <c r="K41"/>
      <c r="L41"/>
      <c r="M41"/>
      <c r="N41"/>
      <c r="O41"/>
      <c r="P41"/>
      <c r="Q41"/>
      <c r="R41"/>
      <c r="S41"/>
      <c r="T41"/>
      <c r="U41"/>
      <c r="V41"/>
      <c r="W41"/>
      <c r="X41"/>
      <c r="Y41"/>
      <c r="Z41"/>
      <c r="AA41"/>
      <c r="AB41"/>
    </row>
    <row r="42" spans="1:28" ht="48.75" customHeight="1" thickTop="1" thickBot="1">
      <c r="A42" s="129"/>
      <c r="B42" s="129"/>
      <c r="C42" s="161" t="s">
        <v>87</v>
      </c>
      <c r="D42" s="174">
        <f>Calculations!C16</f>
        <v>56623.217854166702</v>
      </c>
      <c r="E42" s="161" t="s">
        <v>73</v>
      </c>
      <c r="F42" s="174">
        <f>F40*12</f>
        <v>130561.06975106068</v>
      </c>
      <c r="G42" s="141"/>
      <c r="H42" s="141"/>
      <c r="I42" s="129"/>
      <c r="J42" s="129"/>
      <c r="K42"/>
      <c r="L42"/>
      <c r="M42"/>
      <c r="N42"/>
      <c r="O42"/>
      <c r="P42"/>
      <c r="Q42"/>
      <c r="R42"/>
      <c r="S42"/>
      <c r="T42"/>
      <c r="U42"/>
      <c r="V42"/>
      <c r="W42"/>
      <c r="X42"/>
      <c r="Y42"/>
      <c r="Z42"/>
      <c r="AA42"/>
      <c r="AB42"/>
    </row>
    <row r="43" spans="1:28" ht="66" thickTop="1" thickBot="1">
      <c r="A43" s="129"/>
      <c r="B43" s="129"/>
      <c r="C43" s="161" t="s">
        <v>182</v>
      </c>
      <c r="D43" s="174">
        <f>SUM(F7:F10)+D42+D40</f>
        <v>783366.41785416671</v>
      </c>
      <c r="E43" s="229" t="s">
        <v>72</v>
      </c>
      <c r="F43" s="229"/>
      <c r="G43" s="141"/>
      <c r="H43" s="141"/>
      <c r="I43" s="129"/>
      <c r="J43" s="129"/>
      <c r="K43"/>
      <c r="L43"/>
      <c r="M43"/>
      <c r="N43"/>
      <c r="O43"/>
      <c r="P43"/>
      <c r="Q43"/>
      <c r="R43"/>
      <c r="S43"/>
      <c r="T43"/>
      <c r="U43"/>
      <c r="V43"/>
      <c r="W43"/>
      <c r="X43"/>
      <c r="Y43"/>
      <c r="Z43"/>
      <c r="AA43"/>
      <c r="AB43"/>
    </row>
    <row r="44" spans="1:28" ht="15" customHeight="1" thickTop="1">
      <c r="A44" s="129"/>
      <c r="B44" s="129"/>
      <c r="C44" s="229" t="s">
        <v>97</v>
      </c>
      <c r="D44" s="229"/>
      <c r="E44" s="230"/>
      <c r="F44" s="230"/>
      <c r="G44" s="141"/>
      <c r="H44" s="141"/>
      <c r="I44" s="129"/>
      <c r="J44" s="129"/>
      <c r="K44"/>
      <c r="L44"/>
      <c r="M44"/>
      <c r="N44"/>
      <c r="O44"/>
      <c r="P44"/>
      <c r="Q44"/>
      <c r="R44"/>
      <c r="S44"/>
      <c r="T44"/>
      <c r="U44"/>
      <c r="V44"/>
      <c r="W44"/>
      <c r="X44"/>
      <c r="Y44"/>
      <c r="Z44"/>
      <c r="AA44"/>
      <c r="AB44"/>
    </row>
    <row r="45" spans="1:28" ht="21.6">
      <c r="A45" s="129"/>
      <c r="B45" s="129"/>
      <c r="C45" s="230"/>
      <c r="D45" s="230"/>
      <c r="E45" s="230"/>
      <c r="F45" s="230"/>
      <c r="G45" s="141"/>
      <c r="H45" s="141"/>
      <c r="I45" s="129"/>
      <c r="J45" s="129"/>
      <c r="K45"/>
      <c r="L45"/>
      <c r="M45"/>
      <c r="N45"/>
      <c r="O45"/>
      <c r="P45"/>
      <c r="Q45"/>
      <c r="R45"/>
      <c r="S45"/>
      <c r="T45"/>
      <c r="U45"/>
      <c r="V45"/>
      <c r="W45"/>
      <c r="X45"/>
      <c r="Y45"/>
      <c r="Z45"/>
      <c r="AA45"/>
      <c r="AB45"/>
    </row>
    <row r="46" spans="1:28" ht="21.6">
      <c r="A46" s="129"/>
      <c r="B46" s="129"/>
      <c r="C46" s="230"/>
      <c r="D46" s="230"/>
      <c r="E46" s="141"/>
      <c r="F46" s="141"/>
      <c r="G46" s="141"/>
      <c r="H46" s="141"/>
      <c r="I46" s="129"/>
      <c r="J46" s="129"/>
      <c r="K46"/>
      <c r="L46"/>
      <c r="M46"/>
      <c r="N46"/>
      <c r="O46"/>
      <c r="P46"/>
      <c r="Q46"/>
      <c r="R46"/>
      <c r="S46"/>
      <c r="T46"/>
      <c r="U46"/>
      <c r="V46"/>
      <c r="W46"/>
      <c r="X46"/>
      <c r="Y46"/>
      <c r="Z46"/>
      <c r="AA46"/>
      <c r="AB46"/>
    </row>
    <row r="47" spans="1:28" ht="38.25" customHeight="1">
      <c r="A47" s="129"/>
      <c r="B47" s="129"/>
      <c r="C47" s="230"/>
      <c r="D47" s="230"/>
      <c r="E47" s="141"/>
      <c r="F47" s="141"/>
      <c r="G47" s="141"/>
      <c r="H47" s="141"/>
      <c r="I47" s="129"/>
      <c r="J47" s="129"/>
      <c r="K47"/>
      <c r="L47"/>
      <c r="M47"/>
      <c r="N47"/>
      <c r="O47"/>
      <c r="P47"/>
      <c r="Q47"/>
      <c r="R47"/>
      <c r="S47"/>
      <c r="T47"/>
      <c r="U47"/>
      <c r="V47"/>
      <c r="W47"/>
      <c r="X47"/>
      <c r="Y47"/>
      <c r="Z47"/>
      <c r="AA47"/>
      <c r="AB47"/>
    </row>
    <row r="48" spans="1:28">
      <c r="A48"/>
      <c r="B48"/>
      <c r="C48"/>
      <c r="D48"/>
      <c r="E48"/>
      <c r="F48"/>
      <c r="G48"/>
      <c r="H48"/>
      <c r="I48"/>
      <c r="J48"/>
      <c r="K48"/>
      <c r="L48"/>
      <c r="M48"/>
      <c r="N48"/>
      <c r="O48"/>
      <c r="P48"/>
      <c r="Q48"/>
      <c r="R48"/>
      <c r="S48"/>
      <c r="T48"/>
      <c r="U48"/>
      <c r="V48"/>
      <c r="W48"/>
      <c r="X48"/>
      <c r="Y48"/>
      <c r="Z48"/>
      <c r="AA48"/>
      <c r="AB48"/>
    </row>
    <row r="49" spans="1:28">
      <c r="A49"/>
      <c r="B49"/>
      <c r="C49"/>
      <c r="D49"/>
      <c r="E49"/>
      <c r="F49"/>
      <c r="G49"/>
      <c r="H49"/>
      <c r="I49"/>
      <c r="J49"/>
      <c r="K49"/>
      <c r="L49"/>
      <c r="M49"/>
      <c r="N49"/>
      <c r="O49"/>
      <c r="P49"/>
      <c r="Q49"/>
      <c r="R49"/>
      <c r="S49"/>
      <c r="T49"/>
      <c r="U49"/>
      <c r="V49"/>
      <c r="W49"/>
      <c r="X49"/>
      <c r="Y49"/>
      <c r="Z49"/>
      <c r="AA49"/>
      <c r="AB49"/>
    </row>
    <row r="50" spans="1:28">
      <c r="A50"/>
      <c r="B50"/>
      <c r="C50"/>
      <c r="D50"/>
      <c r="E50"/>
      <c r="F50"/>
      <c r="G50"/>
      <c r="H50"/>
      <c r="I50"/>
      <c r="J50"/>
      <c r="K50"/>
      <c r="L50"/>
      <c r="M50"/>
      <c r="N50"/>
      <c r="O50"/>
      <c r="P50"/>
      <c r="Q50"/>
      <c r="R50"/>
      <c r="S50"/>
      <c r="T50"/>
      <c r="U50"/>
      <c r="V50"/>
      <c r="W50"/>
      <c r="X50"/>
      <c r="Y50"/>
      <c r="Z50"/>
      <c r="AA50"/>
      <c r="AB50"/>
    </row>
    <row r="51" spans="1:28">
      <c r="A51"/>
      <c r="B51"/>
      <c r="C51"/>
      <c r="D51"/>
      <c r="E51"/>
      <c r="F51"/>
      <c r="G51"/>
      <c r="H51"/>
      <c r="I51"/>
      <c r="J51"/>
      <c r="K51"/>
      <c r="L51"/>
      <c r="M51"/>
      <c r="N51"/>
      <c r="O51"/>
      <c r="P51"/>
      <c r="Q51"/>
      <c r="R51"/>
      <c r="S51"/>
      <c r="T51"/>
      <c r="U51"/>
      <c r="V51"/>
      <c r="W51"/>
      <c r="X51"/>
      <c r="Y51"/>
      <c r="Z51"/>
      <c r="AA51"/>
      <c r="AB51"/>
    </row>
    <row r="52" spans="1:28">
      <c r="A52"/>
      <c r="B52"/>
      <c r="C52"/>
      <c r="D52"/>
      <c r="E52"/>
      <c r="F52"/>
      <c r="G52"/>
      <c r="H52"/>
      <c r="I52"/>
      <c r="J52"/>
      <c r="K52"/>
      <c r="L52"/>
      <c r="M52"/>
      <c r="N52"/>
      <c r="O52"/>
      <c r="P52"/>
      <c r="Q52"/>
      <c r="R52"/>
      <c r="S52"/>
      <c r="T52"/>
      <c r="U52"/>
      <c r="V52"/>
      <c r="W52"/>
      <c r="X52"/>
      <c r="Y52"/>
      <c r="Z52"/>
      <c r="AA52"/>
      <c r="AB52"/>
    </row>
    <row r="53" spans="1:28">
      <c r="A53"/>
      <c r="B53"/>
      <c r="C53"/>
      <c r="D53"/>
      <c r="E53"/>
      <c r="F53"/>
      <c r="G53"/>
      <c r="H53"/>
      <c r="I53"/>
      <c r="J53"/>
      <c r="K53"/>
      <c r="L53"/>
      <c r="M53"/>
      <c r="N53"/>
      <c r="O53"/>
      <c r="P53"/>
      <c r="Q53"/>
      <c r="R53"/>
      <c r="S53"/>
      <c r="T53"/>
      <c r="U53"/>
      <c r="V53"/>
      <c r="W53"/>
      <c r="X53"/>
      <c r="Y53"/>
      <c r="Z53"/>
      <c r="AA53"/>
      <c r="AB53"/>
    </row>
    <row r="54" spans="1:28">
      <c r="A54"/>
      <c r="B54"/>
      <c r="C54"/>
      <c r="D54"/>
      <c r="E54"/>
      <c r="F54"/>
      <c r="G54"/>
      <c r="H54"/>
      <c r="I54"/>
      <c r="J54"/>
      <c r="K54"/>
      <c r="L54"/>
      <c r="M54"/>
      <c r="N54"/>
      <c r="O54"/>
      <c r="P54"/>
      <c r="Q54"/>
      <c r="R54"/>
      <c r="S54"/>
      <c r="T54"/>
      <c r="U54"/>
      <c r="V54"/>
      <c r="W54"/>
      <c r="X54"/>
      <c r="Y54"/>
      <c r="Z54"/>
      <c r="AA54"/>
      <c r="AB54"/>
    </row>
    <row r="55" spans="1:28">
      <c r="A55"/>
      <c r="B55"/>
      <c r="C55"/>
      <c r="D55"/>
      <c r="E55"/>
      <c r="F55"/>
      <c r="G55"/>
      <c r="H55"/>
      <c r="I55"/>
      <c r="J55"/>
      <c r="K55"/>
      <c r="L55"/>
      <c r="M55"/>
      <c r="N55"/>
      <c r="O55"/>
      <c r="P55"/>
      <c r="Q55"/>
      <c r="R55"/>
      <c r="S55"/>
      <c r="T55"/>
      <c r="U55"/>
      <c r="V55"/>
      <c r="W55"/>
      <c r="X55"/>
      <c r="Y55"/>
      <c r="Z55"/>
      <c r="AA55"/>
      <c r="AB55"/>
    </row>
    <row r="56" spans="1:28">
      <c r="A56"/>
      <c r="B56"/>
      <c r="C56"/>
      <c r="D56"/>
      <c r="E56"/>
      <c r="F56"/>
      <c r="G56"/>
      <c r="H56"/>
      <c r="I56"/>
      <c r="J56"/>
      <c r="K56"/>
      <c r="L56"/>
      <c r="M56"/>
      <c r="N56"/>
      <c r="O56"/>
      <c r="P56"/>
      <c r="Q56"/>
      <c r="R56"/>
      <c r="S56"/>
      <c r="T56"/>
      <c r="U56"/>
      <c r="V56"/>
      <c r="W56"/>
      <c r="X56"/>
      <c r="Y56"/>
      <c r="Z56"/>
      <c r="AA56"/>
      <c r="AB56"/>
    </row>
    <row r="57" spans="1:28">
      <c r="A57"/>
      <c r="B57"/>
      <c r="C57"/>
      <c r="D57"/>
      <c r="E57"/>
      <c r="F57"/>
      <c r="G57"/>
      <c r="H57"/>
      <c r="I57"/>
      <c r="J57"/>
      <c r="K57"/>
      <c r="L57"/>
      <c r="M57"/>
      <c r="N57"/>
      <c r="O57"/>
      <c r="P57"/>
      <c r="Q57"/>
      <c r="R57"/>
      <c r="S57"/>
      <c r="T57"/>
      <c r="U57"/>
      <c r="V57"/>
      <c r="W57"/>
      <c r="X57"/>
      <c r="Y57"/>
      <c r="Z57"/>
      <c r="AA57"/>
      <c r="AB57"/>
    </row>
    <row r="58" spans="1:28">
      <c r="A58"/>
      <c r="B58"/>
      <c r="C58"/>
      <c r="D58"/>
      <c r="E58"/>
      <c r="F58"/>
      <c r="G58"/>
      <c r="H58"/>
      <c r="I58"/>
      <c r="J58"/>
      <c r="K58"/>
      <c r="L58"/>
      <c r="M58"/>
      <c r="N58"/>
      <c r="O58"/>
      <c r="P58"/>
      <c r="Q58"/>
      <c r="R58"/>
      <c r="S58"/>
      <c r="T58"/>
      <c r="U58"/>
      <c r="V58"/>
      <c r="W58"/>
      <c r="X58"/>
      <c r="Y58"/>
      <c r="Z58"/>
      <c r="AA58"/>
      <c r="AB58"/>
    </row>
    <row r="59" spans="1:28">
      <c r="A59"/>
      <c r="B59"/>
      <c r="C59"/>
      <c r="D59"/>
      <c r="E59"/>
      <c r="F59"/>
      <c r="G59"/>
      <c r="H59"/>
      <c r="I59"/>
      <c r="J59"/>
      <c r="K59"/>
      <c r="L59"/>
      <c r="M59"/>
      <c r="N59"/>
      <c r="O59"/>
      <c r="P59"/>
      <c r="Q59"/>
      <c r="R59"/>
      <c r="S59"/>
      <c r="T59"/>
      <c r="U59"/>
      <c r="V59"/>
      <c r="W59"/>
      <c r="X59"/>
      <c r="Y59"/>
      <c r="Z59"/>
      <c r="AA59"/>
      <c r="AB59"/>
    </row>
    <row r="60" spans="1:28">
      <c r="A60"/>
      <c r="B60"/>
      <c r="C60"/>
      <c r="D60"/>
      <c r="E60"/>
      <c r="F60"/>
      <c r="G60"/>
      <c r="H60"/>
      <c r="I60"/>
      <c r="J60"/>
      <c r="K60"/>
      <c r="L60"/>
      <c r="M60"/>
      <c r="N60"/>
      <c r="O60"/>
      <c r="P60"/>
      <c r="Q60"/>
      <c r="R60"/>
      <c r="S60"/>
      <c r="T60"/>
      <c r="U60"/>
      <c r="V60"/>
      <c r="W60"/>
      <c r="X60"/>
      <c r="Y60"/>
      <c r="Z60"/>
      <c r="AA60"/>
      <c r="AB60"/>
    </row>
    <row r="61" spans="1:28">
      <c r="A61"/>
      <c r="B61"/>
      <c r="C61"/>
      <c r="D61"/>
      <c r="E61"/>
      <c r="F61"/>
      <c r="G61"/>
      <c r="H61"/>
      <c r="I61"/>
      <c r="J61"/>
      <c r="K61"/>
      <c r="L61"/>
      <c r="M61"/>
      <c r="N61"/>
      <c r="O61"/>
      <c r="P61"/>
      <c r="Q61"/>
      <c r="R61"/>
      <c r="S61"/>
      <c r="T61"/>
      <c r="U61"/>
      <c r="V61"/>
      <c r="W61"/>
      <c r="X61"/>
      <c r="Y61"/>
      <c r="Z61"/>
      <c r="AA61"/>
      <c r="AB61"/>
    </row>
    <row r="62" spans="1:28">
      <c r="A62"/>
      <c r="B62"/>
      <c r="C62"/>
      <c r="D62"/>
      <c r="E62"/>
      <c r="F62"/>
      <c r="G62"/>
      <c r="H62"/>
      <c r="I62"/>
      <c r="J62"/>
      <c r="K62"/>
      <c r="L62"/>
      <c r="M62"/>
      <c r="N62"/>
      <c r="O62"/>
      <c r="P62"/>
      <c r="Q62"/>
      <c r="R62"/>
      <c r="S62"/>
      <c r="T62"/>
      <c r="U62"/>
      <c r="V62"/>
      <c r="W62"/>
      <c r="X62"/>
      <c r="Y62"/>
      <c r="Z62"/>
      <c r="AA62"/>
      <c r="AB62"/>
    </row>
    <row r="63" spans="1:28">
      <c r="A63"/>
      <c r="B63"/>
      <c r="C63"/>
      <c r="D63"/>
      <c r="E63"/>
      <c r="F63"/>
      <c r="G63"/>
      <c r="H63"/>
      <c r="I63"/>
      <c r="J63"/>
      <c r="K63"/>
      <c r="L63"/>
      <c r="M63"/>
      <c r="N63"/>
      <c r="O63"/>
      <c r="P63"/>
      <c r="Q63"/>
      <c r="R63"/>
      <c r="S63"/>
      <c r="T63"/>
      <c r="U63"/>
      <c r="V63"/>
      <c r="W63"/>
      <c r="X63"/>
      <c r="Y63"/>
      <c r="Z63"/>
      <c r="AA63"/>
      <c r="AB63"/>
    </row>
    <row r="64" spans="1:28">
      <c r="A64"/>
      <c r="B64"/>
      <c r="C64"/>
      <c r="D64"/>
      <c r="E64"/>
      <c r="F64"/>
      <c r="G64"/>
      <c r="H64"/>
      <c r="I64"/>
      <c r="J64"/>
      <c r="K64"/>
      <c r="L64"/>
      <c r="M64"/>
      <c r="N64"/>
      <c r="O64"/>
      <c r="P64"/>
      <c r="Q64"/>
      <c r="R64"/>
      <c r="S64"/>
      <c r="T64"/>
      <c r="U64"/>
      <c r="V64"/>
      <c r="W64"/>
      <c r="X64"/>
      <c r="Y64"/>
      <c r="Z64"/>
      <c r="AA64"/>
      <c r="AB64"/>
    </row>
    <row r="65" spans="1:28">
      <c r="A65"/>
      <c r="B65"/>
      <c r="C65"/>
      <c r="D65"/>
      <c r="E65"/>
      <c r="F65"/>
      <c r="G65"/>
      <c r="H65"/>
      <c r="I65"/>
      <c r="J65"/>
      <c r="K65"/>
      <c r="L65"/>
      <c r="M65"/>
      <c r="N65"/>
      <c r="O65"/>
      <c r="P65"/>
      <c r="Q65"/>
      <c r="R65"/>
      <c r="S65"/>
      <c r="T65"/>
      <c r="U65"/>
      <c r="V65"/>
      <c r="W65"/>
      <c r="X65"/>
      <c r="Y65"/>
      <c r="Z65"/>
      <c r="AA65"/>
      <c r="AB65"/>
    </row>
    <row r="66" spans="1:28">
      <c r="A66"/>
      <c r="B66"/>
      <c r="C66"/>
      <c r="D66"/>
      <c r="E66"/>
      <c r="F66"/>
      <c r="G66"/>
      <c r="H66"/>
      <c r="I66"/>
      <c r="J66"/>
      <c r="K66"/>
      <c r="L66"/>
      <c r="M66"/>
      <c r="N66"/>
      <c r="O66"/>
      <c r="P66"/>
      <c r="Q66"/>
      <c r="R66"/>
      <c r="S66"/>
      <c r="T66"/>
      <c r="U66"/>
      <c r="V66"/>
      <c r="W66"/>
      <c r="X66"/>
      <c r="Y66"/>
      <c r="Z66"/>
      <c r="AA66"/>
      <c r="AB66"/>
    </row>
    <row r="67" spans="1:28">
      <c r="A67"/>
      <c r="B67"/>
      <c r="C67"/>
      <c r="D67"/>
      <c r="E67"/>
      <c r="F67"/>
      <c r="G67"/>
      <c r="H67"/>
      <c r="I67"/>
      <c r="J67"/>
      <c r="K67"/>
      <c r="L67"/>
      <c r="M67"/>
      <c r="N67"/>
      <c r="O67"/>
      <c r="P67"/>
      <c r="Q67"/>
      <c r="R67"/>
      <c r="S67"/>
      <c r="T67"/>
      <c r="U67"/>
      <c r="V67"/>
      <c r="W67"/>
      <c r="X67"/>
      <c r="Y67"/>
      <c r="Z67"/>
      <c r="AA67"/>
      <c r="AB67"/>
    </row>
    <row r="68" spans="1:28">
      <c r="A68"/>
      <c r="B68"/>
      <c r="C68"/>
      <c r="D68"/>
      <c r="E68"/>
      <c r="F68"/>
      <c r="G68"/>
      <c r="H68"/>
      <c r="I68"/>
      <c r="J68"/>
      <c r="K68"/>
      <c r="L68"/>
      <c r="M68"/>
      <c r="N68"/>
      <c r="O68"/>
      <c r="P68"/>
      <c r="Q68"/>
      <c r="R68"/>
      <c r="S68"/>
      <c r="T68"/>
      <c r="U68"/>
      <c r="V68"/>
      <c r="W68"/>
      <c r="X68"/>
      <c r="Y68"/>
      <c r="Z68"/>
      <c r="AA68"/>
      <c r="AB68"/>
    </row>
    <row r="69" spans="1:28">
      <c r="A69"/>
      <c r="B69"/>
      <c r="C69"/>
      <c r="D69"/>
      <c r="E69"/>
      <c r="F69"/>
      <c r="G69"/>
      <c r="H69"/>
      <c r="I69"/>
      <c r="J69"/>
      <c r="K69"/>
      <c r="L69"/>
      <c r="M69"/>
      <c r="N69"/>
      <c r="O69"/>
      <c r="P69"/>
      <c r="Q69"/>
      <c r="R69"/>
      <c r="S69"/>
      <c r="T69"/>
      <c r="U69"/>
      <c r="V69"/>
      <c r="W69"/>
      <c r="X69"/>
      <c r="Y69"/>
      <c r="Z69"/>
      <c r="AA69"/>
      <c r="AB69"/>
    </row>
    <row r="70" spans="1:28">
      <c r="A70"/>
      <c r="B70"/>
      <c r="C70"/>
      <c r="D70"/>
      <c r="E70"/>
      <c r="F70"/>
      <c r="G70"/>
      <c r="H70"/>
      <c r="I70"/>
      <c r="J70"/>
      <c r="K70"/>
      <c r="L70"/>
      <c r="M70"/>
      <c r="N70"/>
      <c r="O70"/>
      <c r="P70"/>
      <c r="Q70"/>
      <c r="R70"/>
      <c r="S70"/>
      <c r="T70"/>
      <c r="U70"/>
      <c r="V70"/>
      <c r="W70"/>
      <c r="X70"/>
      <c r="Y70"/>
      <c r="Z70"/>
      <c r="AA70"/>
      <c r="AB70"/>
    </row>
    <row r="71" spans="1:28">
      <c r="A71"/>
      <c r="B71"/>
      <c r="C71"/>
      <c r="D71"/>
      <c r="E71"/>
      <c r="F71"/>
      <c r="G71"/>
      <c r="H71"/>
      <c r="I71"/>
      <c r="J71"/>
      <c r="K71"/>
      <c r="L71"/>
      <c r="M71"/>
      <c r="N71"/>
      <c r="O71"/>
      <c r="P71"/>
      <c r="Q71"/>
      <c r="R71"/>
      <c r="S71"/>
      <c r="T71"/>
      <c r="U71"/>
      <c r="V71"/>
      <c r="W71"/>
      <c r="X71"/>
      <c r="Y71"/>
      <c r="Z71"/>
      <c r="AA71"/>
      <c r="AB71"/>
    </row>
    <row r="72" spans="1:28">
      <c r="A72"/>
      <c r="B72"/>
      <c r="C72"/>
      <c r="D72"/>
      <c r="E72"/>
      <c r="F72"/>
      <c r="G72"/>
      <c r="H72"/>
      <c r="I72"/>
      <c r="J72"/>
      <c r="K72"/>
      <c r="L72"/>
      <c r="M72"/>
      <c r="N72"/>
      <c r="O72"/>
      <c r="P72"/>
      <c r="Q72"/>
      <c r="R72"/>
      <c r="S72"/>
      <c r="T72"/>
      <c r="U72"/>
      <c r="V72"/>
      <c r="W72"/>
      <c r="X72"/>
      <c r="Y72"/>
      <c r="Z72"/>
      <c r="AA72"/>
      <c r="AB72"/>
    </row>
    <row r="73" spans="1:28">
      <c r="A73"/>
      <c r="B73"/>
      <c r="C73"/>
      <c r="D73"/>
      <c r="E73"/>
      <c r="F73"/>
      <c r="G73"/>
      <c r="H73"/>
      <c r="I73"/>
      <c r="J73"/>
      <c r="K73"/>
      <c r="L73"/>
      <c r="M73"/>
      <c r="N73"/>
      <c r="O73"/>
      <c r="P73"/>
      <c r="Q73"/>
      <c r="R73"/>
      <c r="S73"/>
      <c r="T73"/>
      <c r="U73"/>
      <c r="V73"/>
      <c r="W73"/>
      <c r="X73"/>
      <c r="Y73"/>
      <c r="Z73"/>
      <c r="AA73"/>
      <c r="AB73"/>
    </row>
    <row r="74" spans="1:28">
      <c r="A74"/>
      <c r="B74"/>
      <c r="C74"/>
      <c r="D74"/>
      <c r="E74"/>
      <c r="F74"/>
      <c r="G74"/>
      <c r="H74"/>
      <c r="I74"/>
      <c r="J74"/>
      <c r="K74"/>
      <c r="L74"/>
      <c r="M74"/>
      <c r="N74"/>
      <c r="O74"/>
      <c r="P74"/>
      <c r="Q74"/>
      <c r="R74"/>
      <c r="S74"/>
      <c r="T74"/>
      <c r="U74"/>
      <c r="V74"/>
      <c r="W74"/>
      <c r="X74"/>
      <c r="Y74"/>
      <c r="Z74"/>
      <c r="AA74"/>
      <c r="AB74"/>
    </row>
    <row r="75" spans="1:28">
      <c r="A75"/>
      <c r="B75"/>
      <c r="C75"/>
      <c r="D75"/>
      <c r="E75"/>
      <c r="F75"/>
      <c r="G75"/>
      <c r="H75"/>
      <c r="I75"/>
      <c r="J75"/>
      <c r="K75"/>
      <c r="L75"/>
      <c r="M75"/>
      <c r="N75"/>
      <c r="O75"/>
      <c r="P75"/>
      <c r="Q75"/>
      <c r="R75"/>
      <c r="S75"/>
      <c r="T75"/>
      <c r="U75"/>
      <c r="V75"/>
      <c r="W75"/>
      <c r="X75"/>
      <c r="Y75"/>
      <c r="Z75"/>
      <c r="AA75"/>
      <c r="AB75"/>
    </row>
    <row r="76" spans="1:28">
      <c r="A76"/>
      <c r="B76"/>
      <c r="C76"/>
      <c r="D76"/>
      <c r="E76"/>
      <c r="F76"/>
      <c r="G76"/>
      <c r="H76"/>
      <c r="I76"/>
      <c r="J76"/>
      <c r="K76"/>
      <c r="L76"/>
      <c r="M76"/>
      <c r="N76"/>
      <c r="O76"/>
      <c r="P76"/>
      <c r="Q76"/>
      <c r="R76"/>
      <c r="S76"/>
      <c r="T76"/>
      <c r="U76"/>
      <c r="V76"/>
      <c r="W76"/>
      <c r="X76"/>
      <c r="Y76"/>
      <c r="Z76"/>
      <c r="AA76"/>
      <c r="AB76"/>
    </row>
    <row r="77" spans="1:28">
      <c r="A77"/>
      <c r="B77"/>
      <c r="C77"/>
      <c r="D77"/>
      <c r="E77"/>
      <c r="F77"/>
      <c r="G77"/>
      <c r="H77"/>
      <c r="I77"/>
      <c r="J77"/>
      <c r="K77"/>
      <c r="L77"/>
      <c r="M77"/>
      <c r="N77"/>
      <c r="O77"/>
      <c r="P77"/>
      <c r="Q77"/>
      <c r="R77"/>
      <c r="S77"/>
      <c r="T77"/>
      <c r="U77"/>
      <c r="V77"/>
      <c r="W77"/>
      <c r="X77"/>
      <c r="Y77"/>
      <c r="Z77"/>
      <c r="AA77"/>
      <c r="AB77"/>
    </row>
    <row r="78" spans="1:28">
      <c r="A78"/>
      <c r="B78"/>
      <c r="C78"/>
      <c r="D78"/>
      <c r="E78"/>
      <c r="F78"/>
      <c r="G78"/>
      <c r="H78"/>
      <c r="I78"/>
      <c r="J78"/>
      <c r="K78"/>
      <c r="L78"/>
      <c r="M78"/>
      <c r="N78"/>
      <c r="O78"/>
      <c r="P78"/>
      <c r="Q78"/>
      <c r="R78"/>
      <c r="S78"/>
      <c r="T78"/>
      <c r="U78"/>
      <c r="V78"/>
      <c r="W78"/>
      <c r="X78"/>
      <c r="Y78"/>
      <c r="Z78"/>
      <c r="AA78"/>
      <c r="AB78"/>
    </row>
    <row r="79" spans="1:28">
      <c r="A79"/>
      <c r="B79"/>
      <c r="C79"/>
      <c r="D79"/>
      <c r="E79"/>
      <c r="F79"/>
      <c r="G79"/>
      <c r="H79"/>
      <c r="I79"/>
      <c r="J79"/>
      <c r="K79"/>
      <c r="L79"/>
      <c r="M79"/>
      <c r="N79"/>
      <c r="O79"/>
      <c r="P79"/>
      <c r="Q79"/>
      <c r="R79"/>
      <c r="S79"/>
      <c r="T79"/>
      <c r="U79"/>
      <c r="V79"/>
      <c r="W79"/>
      <c r="X79"/>
      <c r="Y79"/>
      <c r="Z79"/>
      <c r="AA79"/>
      <c r="AB79"/>
    </row>
    <row r="80" spans="1:28">
      <c r="A80"/>
      <c r="B80"/>
      <c r="C80"/>
      <c r="D80"/>
      <c r="E80"/>
      <c r="F80"/>
      <c r="G80"/>
      <c r="H80"/>
      <c r="I80"/>
      <c r="J80"/>
      <c r="K80"/>
      <c r="L80"/>
      <c r="M80"/>
      <c r="N80"/>
      <c r="O80"/>
      <c r="P80"/>
      <c r="Q80"/>
      <c r="R80"/>
      <c r="S80"/>
      <c r="T80"/>
      <c r="U80"/>
      <c r="V80"/>
      <c r="W80"/>
      <c r="X80"/>
      <c r="Y80"/>
      <c r="Z80"/>
      <c r="AA80"/>
      <c r="AB80"/>
    </row>
    <row r="81" spans="1:28">
      <c r="A81"/>
      <c r="B81"/>
      <c r="C81"/>
      <c r="D81"/>
      <c r="E81"/>
      <c r="F81"/>
      <c r="G81"/>
      <c r="H81"/>
      <c r="I81"/>
      <c r="J81"/>
      <c r="K81"/>
      <c r="L81"/>
      <c r="M81"/>
      <c r="N81"/>
      <c r="O81"/>
      <c r="P81"/>
      <c r="Q81"/>
      <c r="R81"/>
      <c r="S81"/>
      <c r="T81"/>
      <c r="U81"/>
      <c r="V81"/>
      <c r="W81"/>
      <c r="X81"/>
      <c r="Y81"/>
      <c r="Z81"/>
      <c r="AA81"/>
      <c r="AB81"/>
    </row>
    <row r="82" spans="1:28">
      <c r="A82"/>
      <c r="B82"/>
      <c r="C82"/>
      <c r="D82"/>
      <c r="E82"/>
      <c r="F82"/>
      <c r="G82"/>
      <c r="H82"/>
      <c r="I82"/>
      <c r="J82"/>
      <c r="K82"/>
      <c r="L82"/>
      <c r="M82"/>
      <c r="N82"/>
      <c r="O82"/>
      <c r="P82"/>
      <c r="Q82"/>
      <c r="R82"/>
      <c r="S82"/>
      <c r="T82"/>
      <c r="U82"/>
      <c r="V82"/>
      <c r="W82"/>
      <c r="X82"/>
      <c r="Y82"/>
      <c r="Z82"/>
      <c r="AA82"/>
      <c r="AB82"/>
    </row>
  </sheetData>
  <sheetProtection password="9919" sheet="1" objects="1" scenarios="1"/>
  <protectedRanges>
    <protectedRange sqref="F7:F10" name="Development Costs Inputs"/>
    <protectedRange sqref="D10" name="Annual Energy Savings Percentage"/>
    <protectedRange sqref="D11" name="Fuel Escalation Rate"/>
    <protectedRange sqref="D7:D8" name="Annual Energy spend"/>
    <protectedRange sqref="H10" name="Down Payment"/>
    <protectedRange sqref="H7" name="Loan Term"/>
    <protectedRange sqref="H8" name="Interest Rate"/>
    <protectedRange sqref="H9" name="Number of Payments per year"/>
  </protectedRanges>
  <mergeCells count="21">
    <mergeCell ref="A1:J1"/>
    <mergeCell ref="J8:J9"/>
    <mergeCell ref="J10:J11"/>
    <mergeCell ref="C18:E18"/>
    <mergeCell ref="A3:J3"/>
    <mergeCell ref="A4:J4"/>
    <mergeCell ref="E43:F45"/>
    <mergeCell ref="C44:D47"/>
    <mergeCell ref="C20:E20"/>
    <mergeCell ref="A5:J5"/>
    <mergeCell ref="G26:J26"/>
    <mergeCell ref="G27:J27"/>
    <mergeCell ref="C24:E24"/>
    <mergeCell ref="G17:G18"/>
    <mergeCell ref="H17:H18"/>
    <mergeCell ref="I17:I18"/>
    <mergeCell ref="J17:J18"/>
    <mergeCell ref="G21:G22"/>
    <mergeCell ref="H21:H22"/>
    <mergeCell ref="I21:I22"/>
    <mergeCell ref="J21:J22"/>
  </mergeCells>
  <hyperlinks>
    <hyperlink ref="J31" location="Graphics!A1" display="See Graphics"/>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showGridLines="0" topLeftCell="A250" zoomScale="85" zoomScaleNormal="85" workbookViewId="0">
      <selection activeCell="I275" sqref="I275"/>
    </sheetView>
  </sheetViews>
  <sheetFormatPr defaultRowHeight="14.4"/>
  <cols>
    <col min="2" max="2" width="37.88671875" customWidth="1"/>
    <col min="3" max="3" width="25.33203125" customWidth="1"/>
    <col min="4" max="4" width="33.6640625" customWidth="1"/>
    <col min="5" max="5" width="17.6640625" customWidth="1"/>
    <col min="6" max="6" width="14.88671875" bestFit="1" customWidth="1"/>
    <col min="7" max="7" width="17" customWidth="1"/>
    <col min="8" max="8" width="13.6640625" bestFit="1" customWidth="1"/>
  </cols>
  <sheetData>
    <row r="1" spans="1:7" ht="30" customHeight="1">
      <c r="B1" s="72" t="s">
        <v>155</v>
      </c>
    </row>
    <row r="2" spans="1:7">
      <c r="B2" s="275" t="s">
        <v>154</v>
      </c>
      <c r="C2" s="275"/>
    </row>
    <row r="3" spans="1:7">
      <c r="B3" s="275" t="s">
        <v>157</v>
      </c>
      <c r="C3" s="275"/>
    </row>
    <row r="4" spans="1:7">
      <c r="B4" s="275" t="s">
        <v>159</v>
      </c>
      <c r="C4" s="275"/>
    </row>
    <row r="5" spans="1:7">
      <c r="B5" s="275" t="s">
        <v>160</v>
      </c>
      <c r="C5" s="275"/>
      <c r="D5" s="275"/>
    </row>
    <row r="6" spans="1:7">
      <c r="B6" s="275" t="s">
        <v>158</v>
      </c>
      <c r="C6" s="275"/>
    </row>
    <row r="7" spans="1:7">
      <c r="B7" s="275" t="s">
        <v>161</v>
      </c>
      <c r="C7" s="275"/>
    </row>
    <row r="8" spans="1:7">
      <c r="B8" s="275" t="s">
        <v>162</v>
      </c>
      <c r="C8" s="275"/>
    </row>
    <row r="11" spans="1:7" ht="23.4">
      <c r="A11" s="263" t="s">
        <v>154</v>
      </c>
      <c r="B11" s="264"/>
      <c r="C11" s="264"/>
      <c r="D11" s="264"/>
      <c r="E11" s="264"/>
      <c r="F11" s="264"/>
      <c r="G11" s="265"/>
    </row>
    <row r="12" spans="1:7" ht="23.4">
      <c r="A12" s="266" t="s">
        <v>139</v>
      </c>
      <c r="B12" s="267"/>
      <c r="C12" s="267"/>
      <c r="D12" s="267"/>
      <c r="E12" s="267"/>
      <c r="F12" s="267"/>
      <c r="G12" s="268"/>
    </row>
    <row r="13" spans="1:7">
      <c r="A13" s="67"/>
      <c r="B13" s="23"/>
      <c r="C13" s="23"/>
      <c r="D13" s="23"/>
      <c r="E13" s="23"/>
      <c r="F13" s="23"/>
      <c r="G13" s="68"/>
    </row>
    <row r="14" spans="1:7">
      <c r="A14" s="67"/>
      <c r="B14" s="23"/>
      <c r="C14" s="23"/>
      <c r="D14" s="23"/>
      <c r="E14" s="23"/>
      <c r="F14" s="23"/>
      <c r="G14" s="68"/>
    </row>
    <row r="15" spans="1:7">
      <c r="A15" s="67"/>
      <c r="B15" s="23"/>
      <c r="C15" s="23"/>
      <c r="D15" s="23"/>
      <c r="E15" s="23"/>
      <c r="F15" s="23"/>
      <c r="G15" s="68"/>
    </row>
    <row r="16" spans="1:7">
      <c r="A16" s="67"/>
      <c r="B16" s="23"/>
      <c r="C16" s="23"/>
      <c r="D16" s="23"/>
      <c r="E16" s="23"/>
      <c r="F16" s="23"/>
      <c r="G16" s="68"/>
    </row>
    <row r="17" spans="1:7">
      <c r="A17" s="67"/>
      <c r="B17" s="23"/>
      <c r="C17" s="23"/>
      <c r="D17" s="23"/>
      <c r="E17" s="23"/>
      <c r="F17" s="23"/>
      <c r="G17" s="68"/>
    </row>
    <row r="18" spans="1:7">
      <c r="A18" s="67"/>
      <c r="B18" s="23"/>
      <c r="C18" s="23"/>
      <c r="D18" s="23"/>
      <c r="E18" s="23"/>
      <c r="F18" s="23"/>
      <c r="G18" s="68"/>
    </row>
    <row r="19" spans="1:7">
      <c r="A19" s="67"/>
      <c r="B19" s="23"/>
      <c r="C19" s="23"/>
      <c r="D19" s="23"/>
      <c r="E19" s="23"/>
      <c r="F19" s="23"/>
      <c r="G19" s="68"/>
    </row>
    <row r="20" spans="1:7">
      <c r="A20" s="67"/>
      <c r="B20" s="23"/>
      <c r="C20" s="23"/>
      <c r="D20" s="23"/>
      <c r="E20" s="23"/>
      <c r="F20" s="23"/>
      <c r="G20" s="68"/>
    </row>
    <row r="21" spans="1:7">
      <c r="A21" s="67"/>
      <c r="B21" s="23"/>
      <c r="C21" s="23"/>
      <c r="D21" s="23"/>
      <c r="E21" s="23"/>
      <c r="F21" s="23"/>
      <c r="G21" s="68"/>
    </row>
    <row r="22" spans="1:7">
      <c r="A22" s="67"/>
      <c r="B22" s="23"/>
      <c r="C22" s="23"/>
      <c r="D22" s="23"/>
      <c r="E22" s="23"/>
      <c r="F22" s="23"/>
      <c r="G22" s="68"/>
    </row>
    <row r="23" spans="1:7">
      <c r="A23" s="67"/>
      <c r="B23" s="23"/>
      <c r="C23" s="23"/>
      <c r="D23" s="23"/>
      <c r="E23" s="23"/>
      <c r="F23" s="23"/>
      <c r="G23" s="68"/>
    </row>
    <row r="24" spans="1:7">
      <c r="A24" s="67"/>
      <c r="B24" s="23"/>
      <c r="C24" s="23"/>
      <c r="D24" s="23"/>
      <c r="E24" s="23"/>
      <c r="F24" s="23"/>
      <c r="G24" s="68"/>
    </row>
    <row r="25" spans="1:7">
      <c r="A25" s="67"/>
      <c r="B25" s="23"/>
      <c r="C25" s="23"/>
      <c r="D25" s="23"/>
      <c r="E25" s="23"/>
      <c r="F25" s="23"/>
      <c r="G25" s="68"/>
    </row>
    <row r="26" spans="1:7">
      <c r="A26" s="67"/>
      <c r="B26" s="23"/>
      <c r="C26" s="23"/>
      <c r="D26" s="23"/>
      <c r="E26" s="23"/>
      <c r="F26" s="23"/>
      <c r="G26" s="68"/>
    </row>
    <row r="27" spans="1:7">
      <c r="A27" s="67"/>
      <c r="B27" s="23"/>
      <c r="C27" s="23"/>
      <c r="D27" s="23"/>
      <c r="E27" s="23"/>
      <c r="F27" s="23"/>
      <c r="G27" s="68"/>
    </row>
    <row r="28" spans="1:7">
      <c r="A28" s="67"/>
      <c r="B28" s="23"/>
      <c r="C28" s="23"/>
      <c r="D28" s="23"/>
      <c r="E28" s="23"/>
      <c r="F28" s="23"/>
      <c r="G28" s="68"/>
    </row>
    <row r="29" spans="1:7">
      <c r="A29" s="67"/>
      <c r="B29" s="23"/>
      <c r="C29" s="23"/>
      <c r="D29" s="23"/>
      <c r="E29" s="23"/>
      <c r="F29" s="23"/>
      <c r="G29" s="68"/>
    </row>
    <row r="30" spans="1:7">
      <c r="A30" s="67"/>
      <c r="B30" s="23"/>
      <c r="C30" s="23"/>
      <c r="D30" s="23"/>
      <c r="E30" s="23"/>
      <c r="F30" s="23"/>
      <c r="G30" s="68"/>
    </row>
    <row r="31" spans="1:7">
      <c r="A31" s="67"/>
      <c r="B31" s="23"/>
      <c r="C31" s="23"/>
      <c r="D31" s="23"/>
      <c r="E31" s="23"/>
      <c r="F31" s="23"/>
      <c r="G31" s="68"/>
    </row>
    <row r="32" spans="1:7">
      <c r="A32" s="67"/>
      <c r="B32" s="23"/>
      <c r="C32" s="23"/>
      <c r="D32" s="23"/>
      <c r="E32" s="23"/>
      <c r="F32" s="23"/>
      <c r="G32" s="68"/>
    </row>
    <row r="33" spans="1:7">
      <c r="A33" s="67"/>
      <c r="B33" s="23"/>
      <c r="C33" s="23"/>
      <c r="D33" s="23"/>
      <c r="E33" s="23"/>
      <c r="F33" s="23"/>
      <c r="G33" s="68"/>
    </row>
    <row r="34" spans="1:7">
      <c r="A34" s="67"/>
      <c r="B34" s="23"/>
      <c r="C34" s="23"/>
      <c r="D34" s="23"/>
      <c r="E34" s="23"/>
      <c r="F34" s="23"/>
      <c r="G34" s="68"/>
    </row>
    <row r="35" spans="1:7">
      <c r="A35" s="67"/>
      <c r="B35" s="23"/>
      <c r="C35" s="23"/>
      <c r="D35" s="23"/>
      <c r="E35" s="23"/>
      <c r="F35" s="23"/>
      <c r="G35" s="68"/>
    </row>
    <row r="36" spans="1:7">
      <c r="A36" s="67"/>
      <c r="B36" s="23"/>
      <c r="C36" s="23"/>
      <c r="D36" s="23"/>
      <c r="E36" s="23"/>
      <c r="F36" s="23"/>
      <c r="G36" s="68"/>
    </row>
    <row r="37" spans="1:7">
      <c r="A37" s="67"/>
      <c r="B37" s="23"/>
      <c r="C37" s="23"/>
      <c r="D37" s="23"/>
      <c r="E37" s="23"/>
      <c r="F37" s="23"/>
      <c r="G37" s="68"/>
    </row>
    <row r="38" spans="1:7">
      <c r="A38" s="67"/>
      <c r="B38" s="23"/>
      <c r="C38" s="23"/>
      <c r="D38" s="23"/>
      <c r="E38" s="23"/>
      <c r="F38" s="23"/>
      <c r="G38" s="68"/>
    </row>
    <row r="39" spans="1:7">
      <c r="A39" s="67"/>
      <c r="B39" s="23"/>
      <c r="C39" s="23"/>
      <c r="D39" s="23"/>
      <c r="E39" s="23"/>
      <c r="F39" s="23"/>
      <c r="G39" s="68"/>
    </row>
    <row r="40" spans="1:7">
      <c r="A40" s="67"/>
      <c r="B40" s="23"/>
      <c r="C40" s="23"/>
      <c r="D40" s="23"/>
      <c r="E40" s="23"/>
      <c r="F40" s="23"/>
      <c r="G40" s="68"/>
    </row>
    <row r="41" spans="1:7">
      <c r="A41" s="67"/>
      <c r="B41" s="23"/>
      <c r="C41" s="23"/>
      <c r="D41" s="23"/>
      <c r="E41" s="23"/>
      <c r="F41" s="23"/>
      <c r="G41" s="68"/>
    </row>
    <row r="42" spans="1:7">
      <c r="A42" s="67"/>
      <c r="B42" s="23"/>
      <c r="C42" s="23"/>
      <c r="D42" s="23"/>
      <c r="E42" s="23"/>
      <c r="F42" s="23"/>
      <c r="G42" s="68"/>
    </row>
    <row r="43" spans="1:7">
      <c r="A43" s="67"/>
      <c r="B43" s="23"/>
      <c r="C43" s="23"/>
      <c r="D43" s="23"/>
      <c r="E43" s="23"/>
      <c r="F43" s="23"/>
      <c r="G43" s="68"/>
    </row>
    <row r="44" spans="1:7">
      <c r="A44" s="67"/>
      <c r="B44" s="23"/>
      <c r="C44" s="23"/>
      <c r="D44" s="23"/>
      <c r="E44" s="23"/>
      <c r="F44" s="23"/>
      <c r="G44" s="68"/>
    </row>
    <row r="45" spans="1:7">
      <c r="A45" s="67"/>
      <c r="B45" s="23"/>
      <c r="C45" s="23"/>
      <c r="D45" s="23"/>
      <c r="E45" s="23"/>
      <c r="F45" s="23"/>
      <c r="G45" s="68"/>
    </row>
    <row r="46" spans="1:7">
      <c r="A46" s="67"/>
      <c r="B46" s="23"/>
      <c r="C46" s="23"/>
      <c r="D46" s="23"/>
      <c r="E46" s="23"/>
      <c r="F46" s="23"/>
      <c r="G46" s="68"/>
    </row>
    <row r="47" spans="1:7">
      <c r="A47" s="69"/>
      <c r="B47" s="70"/>
      <c r="C47" s="70"/>
      <c r="D47" s="70"/>
      <c r="E47" s="70"/>
      <c r="F47" s="70"/>
      <c r="G47" s="71"/>
    </row>
    <row r="48" spans="1:7">
      <c r="A48" s="23"/>
      <c r="B48" s="23"/>
      <c r="C48" s="23"/>
      <c r="D48" s="23"/>
      <c r="E48" s="23"/>
      <c r="F48" s="23"/>
      <c r="G48" s="23"/>
    </row>
    <row r="133" spans="1:7" ht="23.4">
      <c r="A133" s="269" t="s">
        <v>138</v>
      </c>
      <c r="B133" s="270"/>
      <c r="C133" s="270"/>
      <c r="D133" s="270"/>
      <c r="E133" s="270"/>
      <c r="F133" s="270"/>
      <c r="G133" s="271"/>
    </row>
    <row r="134" spans="1:7" ht="21">
      <c r="A134" s="272" t="s">
        <v>139</v>
      </c>
      <c r="B134" s="273"/>
      <c r="C134" s="273"/>
      <c r="D134" s="273"/>
      <c r="E134" s="273"/>
      <c r="F134" s="273"/>
      <c r="G134" s="274"/>
    </row>
    <row r="135" spans="1:7">
      <c r="A135" s="67"/>
      <c r="B135" s="23"/>
      <c r="C135" s="23"/>
      <c r="D135" s="23"/>
      <c r="E135" s="23"/>
      <c r="F135" s="23"/>
      <c r="G135" s="68"/>
    </row>
    <row r="136" spans="1:7">
      <c r="A136" s="67"/>
      <c r="B136" s="23"/>
      <c r="C136" s="23"/>
      <c r="D136" s="23"/>
      <c r="E136" s="23"/>
      <c r="F136" s="23"/>
      <c r="G136" s="68"/>
    </row>
    <row r="137" spans="1:7">
      <c r="A137" s="67"/>
      <c r="B137" s="23"/>
      <c r="C137" s="23"/>
      <c r="D137" s="23"/>
      <c r="E137" s="23"/>
      <c r="F137" s="23"/>
      <c r="G137" s="68"/>
    </row>
    <row r="138" spans="1:7">
      <c r="A138" s="67"/>
      <c r="B138" s="23"/>
      <c r="C138" s="23"/>
      <c r="D138" s="23"/>
      <c r="E138" s="23"/>
      <c r="F138" s="23"/>
      <c r="G138" s="68"/>
    </row>
    <row r="139" spans="1:7">
      <c r="A139" s="67"/>
      <c r="B139" s="23"/>
      <c r="C139" s="23"/>
      <c r="D139" s="23"/>
      <c r="E139" s="23"/>
      <c r="F139" s="23"/>
      <c r="G139" s="68"/>
    </row>
    <row r="140" spans="1:7">
      <c r="A140" s="67"/>
      <c r="B140" s="23"/>
      <c r="C140" s="23"/>
      <c r="D140" s="23"/>
      <c r="E140" s="23"/>
      <c r="F140" s="23"/>
      <c r="G140" s="68"/>
    </row>
    <row r="141" spans="1:7">
      <c r="A141" s="67"/>
      <c r="B141" s="23"/>
      <c r="C141" s="23"/>
      <c r="D141" s="23"/>
      <c r="E141" s="23"/>
      <c r="F141" s="23"/>
      <c r="G141" s="68"/>
    </row>
    <row r="142" spans="1:7">
      <c r="A142" s="67"/>
      <c r="B142" s="23"/>
      <c r="C142" s="23"/>
      <c r="D142" s="23"/>
      <c r="E142" s="23"/>
      <c r="F142" s="23"/>
      <c r="G142" s="68"/>
    </row>
    <row r="143" spans="1:7">
      <c r="A143" s="67"/>
      <c r="B143" s="23"/>
      <c r="C143" s="23"/>
      <c r="D143" s="23"/>
      <c r="E143" s="23"/>
      <c r="F143" s="23"/>
      <c r="G143" s="68"/>
    </row>
    <row r="144" spans="1:7">
      <c r="A144" s="67"/>
      <c r="B144" s="23"/>
      <c r="C144" s="23"/>
      <c r="D144" s="23"/>
      <c r="E144" s="23"/>
      <c r="F144" s="23"/>
      <c r="G144" s="68"/>
    </row>
    <row r="145" spans="1:7">
      <c r="A145" s="67"/>
      <c r="B145" s="23"/>
      <c r="C145" s="23"/>
      <c r="D145" s="23"/>
      <c r="E145" s="23"/>
      <c r="F145" s="23"/>
      <c r="G145" s="68"/>
    </row>
    <row r="146" spans="1:7">
      <c r="A146" s="67"/>
      <c r="B146" s="23"/>
      <c r="C146" s="23"/>
      <c r="D146" s="23"/>
      <c r="E146" s="23"/>
      <c r="F146" s="23"/>
      <c r="G146" s="68"/>
    </row>
    <row r="147" spans="1:7">
      <c r="A147" s="67"/>
      <c r="B147" s="23"/>
      <c r="C147" s="23"/>
      <c r="D147" s="23"/>
      <c r="E147" s="23"/>
      <c r="F147" s="23"/>
      <c r="G147" s="68"/>
    </row>
    <row r="148" spans="1:7">
      <c r="A148" s="67"/>
      <c r="B148" s="23"/>
      <c r="C148" s="23"/>
      <c r="D148" s="23"/>
      <c r="E148" s="23"/>
      <c r="F148" s="23"/>
      <c r="G148" s="68"/>
    </row>
    <row r="149" spans="1:7">
      <c r="A149" s="67"/>
      <c r="B149" s="23"/>
      <c r="C149" s="23"/>
      <c r="D149" s="23"/>
      <c r="E149" s="23"/>
      <c r="F149" s="23"/>
      <c r="G149" s="68"/>
    </row>
    <row r="150" spans="1:7">
      <c r="A150" s="67"/>
      <c r="B150" s="23"/>
      <c r="C150" s="23"/>
      <c r="D150" s="23"/>
      <c r="E150" s="23"/>
      <c r="F150" s="23"/>
      <c r="G150" s="68"/>
    </row>
    <row r="151" spans="1:7">
      <c r="A151" s="67"/>
      <c r="B151" s="23"/>
      <c r="C151" s="23"/>
      <c r="D151" s="23"/>
      <c r="E151" s="23"/>
      <c r="F151" s="23"/>
      <c r="G151" s="68"/>
    </row>
    <row r="152" spans="1:7">
      <c r="A152" s="67"/>
      <c r="B152" s="23"/>
      <c r="C152" s="23"/>
      <c r="D152" s="23"/>
      <c r="E152" s="23"/>
      <c r="F152" s="23"/>
      <c r="G152" s="68"/>
    </row>
    <row r="153" spans="1:7">
      <c r="A153" s="67"/>
      <c r="B153" s="23"/>
      <c r="C153" s="23"/>
      <c r="D153" s="23"/>
      <c r="E153" s="23"/>
      <c r="F153" s="23"/>
      <c r="G153" s="68"/>
    </row>
    <row r="154" spans="1:7">
      <c r="A154" s="67"/>
      <c r="B154" s="23"/>
      <c r="C154" s="23"/>
      <c r="D154" s="23"/>
      <c r="E154" s="23"/>
      <c r="F154" s="23"/>
      <c r="G154" s="68"/>
    </row>
    <row r="155" spans="1:7">
      <c r="A155" s="67"/>
      <c r="B155" s="23"/>
      <c r="C155" s="23"/>
      <c r="D155" s="23"/>
      <c r="E155" s="23"/>
      <c r="F155" s="23"/>
      <c r="G155" s="68"/>
    </row>
    <row r="156" spans="1:7">
      <c r="A156" s="67"/>
      <c r="B156" s="23"/>
      <c r="C156" s="23"/>
      <c r="D156" s="23"/>
      <c r="E156" s="23"/>
      <c r="F156" s="23"/>
      <c r="G156" s="68"/>
    </row>
    <row r="157" spans="1:7">
      <c r="A157" s="67"/>
      <c r="B157" s="23"/>
      <c r="C157" s="23"/>
      <c r="D157" s="23"/>
      <c r="E157" s="23"/>
      <c r="F157" s="23"/>
      <c r="G157" s="68"/>
    </row>
    <row r="158" spans="1:7">
      <c r="A158" s="67"/>
      <c r="B158" s="23"/>
      <c r="C158" s="23"/>
      <c r="D158" s="23"/>
      <c r="E158" s="23"/>
      <c r="F158" s="23"/>
      <c r="G158" s="68"/>
    </row>
    <row r="159" spans="1:7">
      <c r="A159" s="67"/>
      <c r="B159" s="23"/>
      <c r="C159" s="23"/>
      <c r="D159" s="23"/>
      <c r="E159" s="23"/>
      <c r="F159" s="23"/>
      <c r="G159" s="68"/>
    </row>
    <row r="160" spans="1:7">
      <c r="A160" s="67"/>
      <c r="B160" s="23"/>
      <c r="C160" s="23"/>
      <c r="D160" s="23"/>
      <c r="E160" s="23"/>
      <c r="F160" s="23"/>
      <c r="G160" s="68"/>
    </row>
    <row r="161" spans="1:7">
      <c r="A161" s="67"/>
      <c r="B161" s="23"/>
      <c r="C161" s="23"/>
      <c r="D161" s="23"/>
      <c r="E161" s="23"/>
      <c r="F161" s="23"/>
      <c r="G161" s="68"/>
    </row>
    <row r="162" spans="1:7">
      <c r="A162" s="67"/>
      <c r="B162" s="23"/>
      <c r="C162" s="23"/>
      <c r="D162" s="23"/>
      <c r="E162" s="23"/>
      <c r="F162" s="23"/>
      <c r="G162" s="68"/>
    </row>
    <row r="163" spans="1:7">
      <c r="A163" s="67"/>
      <c r="B163" s="23"/>
      <c r="C163" s="23"/>
      <c r="D163" s="23"/>
      <c r="E163" s="23"/>
      <c r="F163" s="23"/>
      <c r="G163" s="68"/>
    </row>
    <row r="164" spans="1:7">
      <c r="A164" s="67"/>
      <c r="B164" s="23"/>
      <c r="C164" s="23"/>
      <c r="D164" s="23"/>
      <c r="E164" s="23"/>
      <c r="F164" s="23"/>
      <c r="G164" s="68"/>
    </row>
    <row r="165" spans="1:7">
      <c r="A165" s="67"/>
      <c r="B165" s="23"/>
      <c r="C165" s="23"/>
      <c r="D165" s="23"/>
      <c r="E165" s="23"/>
      <c r="F165" s="23"/>
      <c r="G165" s="68"/>
    </row>
    <row r="166" spans="1:7">
      <c r="A166" s="67"/>
      <c r="B166" s="23"/>
      <c r="C166" s="23"/>
      <c r="D166" s="23"/>
      <c r="E166" s="23"/>
      <c r="F166" s="23"/>
      <c r="G166" s="68"/>
    </row>
    <row r="167" spans="1:7">
      <c r="A167" s="67"/>
      <c r="B167" s="23"/>
      <c r="C167" s="23"/>
      <c r="D167" s="23"/>
      <c r="E167" s="23"/>
      <c r="F167" s="23"/>
      <c r="G167" s="68"/>
    </row>
    <row r="168" spans="1:7">
      <c r="A168" s="67"/>
      <c r="B168" s="23"/>
      <c r="C168" s="23"/>
      <c r="D168" s="23"/>
      <c r="E168" s="23"/>
      <c r="F168" s="23"/>
      <c r="G168" s="68"/>
    </row>
    <row r="169" spans="1:7">
      <c r="A169" s="67"/>
      <c r="B169" s="23"/>
      <c r="C169" s="23"/>
      <c r="D169" s="23"/>
      <c r="E169" s="23"/>
      <c r="F169" s="23"/>
      <c r="G169" s="68"/>
    </row>
    <row r="170" spans="1:7">
      <c r="A170" s="69"/>
      <c r="B170" s="70"/>
      <c r="C170" s="70"/>
      <c r="D170" s="70"/>
      <c r="E170" s="70"/>
      <c r="F170" s="70"/>
      <c r="G170" s="71"/>
    </row>
  </sheetData>
  <sheetProtection password="9919" sheet="1" objects="1" scenarios="1"/>
  <mergeCells count="11">
    <mergeCell ref="A11:G11"/>
    <mergeCell ref="A12:G12"/>
    <mergeCell ref="A133:G133"/>
    <mergeCell ref="A134:G134"/>
    <mergeCell ref="B2:C2"/>
    <mergeCell ref="B3:C3"/>
    <mergeCell ref="B4:C4"/>
    <mergeCell ref="B5:D5"/>
    <mergeCell ref="B6:C6"/>
    <mergeCell ref="B7:C7"/>
    <mergeCell ref="B8:C8"/>
  </mergeCells>
  <hyperlinks>
    <hyperlink ref="B2" location="Graphics!A46" display="Annual Cash Flow, Individual Funding Scenarios"/>
    <hyperlink ref="B4" location="Graphics!A129" display="Annual Cost Savings Comparison (Energy Cost Savings - Payments)"/>
    <hyperlink ref="B5" location="Graphics!A169" display="Cumulative Cash Flow, Individual Funding Scenario (Energy Costs + Payments)"/>
    <hyperlink ref="B6" location="Graphics!A211" display="Cumulative Cash Flow Comparison (Energy Costs + Payments)"/>
    <hyperlink ref="B3" location="Graphics!A87" display="Annual Cash Flow Comparison (Energy Costs + Payments)"/>
    <hyperlink ref="B7" location="Graphics!A254" display="Cumulative Costs &amp; the Benefit of Action"/>
    <hyperlink ref="B8" location="Graphics!A280" display="Cumulative Cost Detail (Yr. 1-15)"/>
    <hyperlink ref="A11:G11" location="Graphics!A46" display="Annual Cash Flow, Individual Funding Scenarios"/>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2"/>
  <sheetViews>
    <sheetView topLeftCell="C430" workbookViewId="0">
      <selection activeCell="E437" sqref="E437"/>
    </sheetView>
  </sheetViews>
  <sheetFormatPr defaultColWidth="16.44140625" defaultRowHeight="14.4"/>
  <cols>
    <col min="1" max="1" width="19.109375" style="1" customWidth="1"/>
    <col min="2" max="2" width="16.44140625" style="1"/>
    <col min="3" max="3" width="18.88671875" style="1" bestFit="1" customWidth="1"/>
    <col min="4" max="4" width="18.44140625" style="1" bestFit="1" customWidth="1"/>
    <col min="5" max="5" width="17" style="1" bestFit="1" customWidth="1"/>
    <col min="6" max="6" width="16.44140625" style="1"/>
    <col min="7" max="7" width="20.33203125" style="1" bestFit="1" customWidth="1"/>
    <col min="8" max="9" width="4.33203125" style="1" customWidth="1"/>
    <col min="10" max="10" width="15.6640625" style="1" bestFit="1" customWidth="1"/>
    <col min="11" max="11" width="13.109375" style="1" bestFit="1" customWidth="1"/>
    <col min="12" max="12" width="12.44140625" style="1" customWidth="1"/>
    <col min="13" max="13" width="9.44140625" style="1" customWidth="1"/>
    <col min="14" max="14" width="13.109375" style="1" bestFit="1" customWidth="1"/>
    <col min="15" max="15" width="13.6640625" style="1" bestFit="1" customWidth="1"/>
    <col min="16" max="28" width="9.5546875" style="1" bestFit="1" customWidth="1"/>
    <col min="29" max="16384" width="16.44140625" style="1"/>
  </cols>
  <sheetData>
    <row r="1" spans="2:14" ht="15" thickBot="1"/>
    <row r="2" spans="2:14" ht="15" thickTop="1">
      <c r="B2" s="287" t="s">
        <v>19</v>
      </c>
      <c r="C2" s="288"/>
      <c r="D2" s="289"/>
      <c r="E2" s="2"/>
      <c r="F2" s="2"/>
    </row>
    <row r="3" spans="2:14" ht="57.6">
      <c r="B3" s="206" t="s">
        <v>0</v>
      </c>
      <c r="C3" s="209"/>
      <c r="D3" s="210"/>
    </row>
    <row r="4" spans="2:14" ht="28.8">
      <c r="B4" s="206" t="s">
        <v>52</v>
      </c>
      <c r="C4" s="199">
        <f>In_Out!F11</f>
        <v>720640</v>
      </c>
      <c r="D4" s="210"/>
      <c r="M4" s="286" t="s">
        <v>66</v>
      </c>
      <c r="N4" s="286"/>
    </row>
    <row r="5" spans="2:14">
      <c r="B5" s="206" t="s">
        <v>1</v>
      </c>
      <c r="C5" s="199">
        <f>In_Out!H10</f>
        <v>0</v>
      </c>
      <c r="D5" s="210"/>
    </row>
    <row r="6" spans="2:14">
      <c r="B6" s="206"/>
      <c r="C6" s="200"/>
      <c r="D6" s="211"/>
      <c r="F6" s="73"/>
      <c r="G6" s="73"/>
      <c r="H6" s="276" t="s">
        <v>20</v>
      </c>
      <c r="I6" s="277"/>
      <c r="J6" s="1" t="s">
        <v>37</v>
      </c>
    </row>
    <row r="7" spans="2:14">
      <c r="B7" s="206" t="s">
        <v>2</v>
      </c>
      <c r="C7" s="201">
        <f>In_Out!D41</f>
        <v>726743.2</v>
      </c>
      <c r="D7" s="210"/>
      <c r="E7" s="73"/>
      <c r="F7" s="75"/>
      <c r="G7" s="73"/>
      <c r="H7" s="276" t="s">
        <v>21</v>
      </c>
      <c r="I7" s="277"/>
      <c r="J7" s="73">
        <f>SUM(D25:D36)</f>
        <v>130561.06975106068</v>
      </c>
    </row>
    <row r="8" spans="2:14" ht="15" customHeight="1">
      <c r="B8" s="206" t="s">
        <v>3</v>
      </c>
      <c r="C8" s="202">
        <f>In_Out!H8</f>
        <v>2.5000000000000001E-2</v>
      </c>
      <c r="D8" s="210"/>
      <c r="E8" s="73"/>
      <c r="F8" s="73"/>
      <c r="G8" s="73"/>
      <c r="H8" s="276" t="s">
        <v>22</v>
      </c>
      <c r="I8" s="277"/>
      <c r="J8" s="73">
        <f>SUM(D37:D48)</f>
        <v>130561.06975106068</v>
      </c>
    </row>
    <row r="9" spans="2:14" ht="15" customHeight="1">
      <c r="B9" s="206" t="s">
        <v>4</v>
      </c>
      <c r="C9" s="203">
        <f>In_Out!H7</f>
        <v>6</v>
      </c>
      <c r="D9" s="210"/>
      <c r="E9" s="73"/>
      <c r="F9" s="73"/>
      <c r="G9" s="73"/>
      <c r="H9" s="276" t="s">
        <v>23</v>
      </c>
      <c r="I9" s="277"/>
      <c r="J9" s="73">
        <f>SUM(D49:D60)</f>
        <v>130561.06975106068</v>
      </c>
    </row>
    <row r="10" spans="2:14" ht="15" customHeight="1">
      <c r="B10" s="207" t="s">
        <v>5</v>
      </c>
      <c r="C10" s="203">
        <f>In_Out!H9</f>
        <v>12</v>
      </c>
      <c r="D10" s="210"/>
      <c r="E10" s="73"/>
      <c r="F10" s="73"/>
      <c r="G10" s="73"/>
      <c r="H10" s="276" t="s">
        <v>24</v>
      </c>
      <c r="I10" s="277"/>
      <c r="J10" s="73">
        <f>SUM(D61:D72)</f>
        <v>130561.06975106068</v>
      </c>
    </row>
    <row r="11" spans="2:14" ht="15" customHeight="1">
      <c r="B11" s="206" t="s">
        <v>6</v>
      </c>
      <c r="C11" s="76">
        <f>PMT(C8/C10,C9*C10,-C7)</f>
        <v>10880.089145921724</v>
      </c>
      <c r="D11" s="210"/>
      <c r="E11" s="73"/>
      <c r="F11" s="73"/>
      <c r="G11" s="73"/>
      <c r="H11" s="276" t="s">
        <v>25</v>
      </c>
      <c r="I11" s="277"/>
      <c r="J11" s="73">
        <f>SUM(D73:D84)</f>
        <v>130561.06975106068</v>
      </c>
    </row>
    <row r="12" spans="2:14" ht="15" customHeight="1">
      <c r="B12" s="206" t="s">
        <v>7</v>
      </c>
      <c r="C12" s="76">
        <f>C11+D8+D11</f>
        <v>10880.089145921724</v>
      </c>
      <c r="D12" s="210"/>
      <c r="E12" s="73"/>
      <c r="F12" s="73"/>
      <c r="G12" s="73"/>
      <c r="H12" s="276" t="s">
        <v>26</v>
      </c>
      <c r="I12" s="277"/>
      <c r="J12" s="73">
        <f>SUM(D85:D96)</f>
        <v>130561.06975106068</v>
      </c>
    </row>
    <row r="13" spans="2:14" ht="15" customHeight="1">
      <c r="B13" s="207" t="s">
        <v>8</v>
      </c>
      <c r="C13" s="204"/>
      <c r="D13" s="212"/>
      <c r="E13" s="73"/>
      <c r="F13" s="73"/>
      <c r="G13" s="73"/>
      <c r="H13" s="276" t="s">
        <v>27</v>
      </c>
      <c r="I13" s="277"/>
      <c r="J13" s="77">
        <f>SUM(D97:D108)</f>
        <v>0</v>
      </c>
    </row>
    <row r="14" spans="2:14" ht="15" customHeight="1">
      <c r="B14" s="207" t="s">
        <v>9</v>
      </c>
      <c r="C14" s="204">
        <v>0</v>
      </c>
      <c r="D14" s="210"/>
      <c r="E14" s="73"/>
      <c r="F14" s="73"/>
      <c r="G14" s="73"/>
      <c r="H14" s="276" t="s">
        <v>28</v>
      </c>
      <c r="I14" s="277"/>
      <c r="J14" s="73">
        <f>SUM(D109:D120)</f>
        <v>0</v>
      </c>
    </row>
    <row r="15" spans="2:14">
      <c r="B15" s="207" t="s">
        <v>10</v>
      </c>
      <c r="C15" s="205">
        <f>C12-C14</f>
        <v>10880.089145921724</v>
      </c>
      <c r="D15" s="210"/>
      <c r="E15" s="73"/>
      <c r="F15" s="73"/>
      <c r="G15" s="73"/>
      <c r="H15" s="276" t="s">
        <v>29</v>
      </c>
      <c r="I15" s="277"/>
      <c r="J15" s="73">
        <f>SUM(D121:D132)</f>
        <v>0</v>
      </c>
    </row>
    <row r="16" spans="2:14" ht="15" customHeight="1">
      <c r="B16" s="206" t="s">
        <v>3</v>
      </c>
      <c r="C16" s="205">
        <f>SUM(E25:E405)</f>
        <v>56623.217854166702</v>
      </c>
      <c r="D16" s="210"/>
      <c r="E16" s="73"/>
      <c r="F16" s="73"/>
      <c r="G16" s="73"/>
      <c r="H16" s="276" t="s">
        <v>30</v>
      </c>
      <c r="I16" s="277"/>
      <c r="J16" s="73">
        <f>SUM(D133:D144)</f>
        <v>0</v>
      </c>
    </row>
    <row r="17" spans="1:10" ht="15" customHeight="1">
      <c r="B17" s="206"/>
      <c r="C17" s="204"/>
      <c r="D17" s="210"/>
      <c r="E17" s="73"/>
      <c r="F17" s="73"/>
      <c r="G17" s="73"/>
      <c r="H17" s="276" t="s">
        <v>31</v>
      </c>
      <c r="I17" s="277"/>
      <c r="J17" s="73">
        <f>SUM(D145:D156)</f>
        <v>0</v>
      </c>
    </row>
    <row r="18" spans="1:10" ht="15" customHeight="1">
      <c r="B18" s="206" t="s">
        <v>11</v>
      </c>
      <c r="C18" s="204"/>
      <c r="D18" s="210"/>
      <c r="H18" s="276" t="s">
        <v>32</v>
      </c>
      <c r="I18" s="277"/>
      <c r="J18" s="73">
        <f>SUM(D157:D168)</f>
        <v>0</v>
      </c>
    </row>
    <row r="19" spans="1:10" ht="15" customHeight="1">
      <c r="B19" s="207" t="s">
        <v>2</v>
      </c>
      <c r="C19" s="76">
        <f>SUM(F25:F385)</f>
        <v>726743.20065219735</v>
      </c>
      <c r="D19" s="210"/>
      <c r="H19" s="276" t="s">
        <v>33</v>
      </c>
      <c r="I19" s="277"/>
      <c r="J19" s="73">
        <f>SUM(D169:D180)</f>
        <v>0</v>
      </c>
    </row>
    <row r="20" spans="1:10" ht="15" customHeight="1">
      <c r="B20" s="206"/>
      <c r="C20" s="205"/>
      <c r="D20" s="210"/>
      <c r="H20" s="276" t="s">
        <v>34</v>
      </c>
      <c r="I20" s="277"/>
      <c r="J20" s="73">
        <f>SUM(D181:D192)</f>
        <v>0</v>
      </c>
    </row>
    <row r="21" spans="1:10" ht="15.75" customHeight="1" thickBot="1">
      <c r="B21" s="208" t="s">
        <v>11</v>
      </c>
      <c r="C21" s="78">
        <f>C5+C16+C19</f>
        <v>783366.41850636411</v>
      </c>
      <c r="D21" s="213"/>
      <c r="H21" s="276" t="s">
        <v>35</v>
      </c>
      <c r="I21" s="277"/>
      <c r="J21" s="73">
        <f>SUM(D193:D204)</f>
        <v>0</v>
      </c>
    </row>
    <row r="22" spans="1:10" ht="15.75" customHeight="1" thickTop="1">
      <c r="H22" s="276" t="s">
        <v>36</v>
      </c>
      <c r="I22" s="277"/>
      <c r="J22" s="73">
        <f>SUM(D194:D205)</f>
        <v>0</v>
      </c>
    </row>
    <row r="23" spans="1:10" ht="15" customHeight="1">
      <c r="A23" s="285" t="s">
        <v>58</v>
      </c>
      <c r="B23" s="285" t="s">
        <v>64</v>
      </c>
      <c r="C23" s="285" t="s">
        <v>59</v>
      </c>
      <c r="D23" s="285" t="s">
        <v>60</v>
      </c>
      <c r="E23" s="285" t="s">
        <v>61</v>
      </c>
      <c r="F23" s="285" t="s">
        <v>62</v>
      </c>
      <c r="G23" s="285" t="s">
        <v>63</v>
      </c>
      <c r="H23" s="276" t="s">
        <v>43</v>
      </c>
      <c r="I23" s="277"/>
      <c r="J23" s="73">
        <f t="shared" ref="J23:J26" si="0">SUM(D195:D206)</f>
        <v>0</v>
      </c>
    </row>
    <row r="24" spans="1:10" ht="15" customHeight="1">
      <c r="A24" s="285"/>
      <c r="B24" s="285"/>
      <c r="C24" s="285"/>
      <c r="D24" s="285"/>
      <c r="E24" s="285"/>
      <c r="F24" s="285"/>
      <c r="G24" s="285"/>
      <c r="H24" s="276" t="s">
        <v>44</v>
      </c>
      <c r="I24" s="277"/>
      <c r="J24" s="73">
        <f t="shared" si="0"/>
        <v>0</v>
      </c>
    </row>
    <row r="25" spans="1:10" ht="15" customHeight="1">
      <c r="A25" s="79">
        <v>1</v>
      </c>
      <c r="C25" s="73">
        <f>C7</f>
        <v>726743.2</v>
      </c>
      <c r="D25" s="73">
        <f>IF(A25&lt;=$C$10*$C$9,$C$11,IF(C25&gt;0,C25," "))</f>
        <v>10880.089145921724</v>
      </c>
      <c r="E25" s="73">
        <f t="shared" ref="E25" si="1">IF(D25&gt;0,+C25*$C$8/$C$10," ")</f>
        <v>1514.0483333333332</v>
      </c>
      <c r="F25" s="73">
        <f t="shared" ref="F25" si="2">IF(D25&gt;0,+D25-E25," ")</f>
        <v>9366.0408125883914</v>
      </c>
      <c r="G25" s="73">
        <f>IF(AND(A25&gt;$C$9*$C$10,G24&lt;=0)," ",ROUND(C25-F25,2))</f>
        <v>717377.16</v>
      </c>
      <c r="H25" s="276" t="s">
        <v>45</v>
      </c>
      <c r="I25" s="277"/>
      <c r="J25" s="73">
        <f t="shared" si="0"/>
        <v>0</v>
      </c>
    </row>
    <row r="26" spans="1:10" ht="15" customHeight="1">
      <c r="A26" s="79">
        <v>2</v>
      </c>
      <c r="C26" s="73">
        <f t="shared" ref="C26:C49" si="3">IF(G25&gt;0,+G25,0)</f>
        <v>717377.16</v>
      </c>
      <c r="D26" s="73">
        <f t="shared" ref="D26:D89" si="4">IF(A26&lt;=$C$10*$C$9,$C$11,IF(C26&gt;0,C26,0))</f>
        <v>10880.089145921724</v>
      </c>
      <c r="E26" s="73">
        <f t="shared" ref="E26:E49" si="5">IF(D26&gt;0,+C26*$C$8/$C$10,0)</f>
        <v>1494.53575</v>
      </c>
      <c r="F26" s="73">
        <f t="shared" ref="F26:F49" si="6">IF(D26&gt;0,+D26-E26,0)</f>
        <v>9385.5533959217246</v>
      </c>
      <c r="G26" s="73">
        <f t="shared" ref="G26:G89" si="7">IF(AND(A26&gt;$C$9*$C$10,G25&lt;=0),0,ROUND(C26-F26,2))</f>
        <v>707991.61</v>
      </c>
      <c r="H26" s="276" t="s">
        <v>46</v>
      </c>
      <c r="I26" s="277"/>
      <c r="J26" s="73">
        <f t="shared" si="0"/>
        <v>0</v>
      </c>
    </row>
    <row r="27" spans="1:10" ht="15" customHeight="1">
      <c r="A27" s="79">
        <v>3</v>
      </c>
      <c r="C27" s="73">
        <f t="shared" si="3"/>
        <v>707991.61</v>
      </c>
      <c r="D27" s="73">
        <f t="shared" si="4"/>
        <v>10880.089145921724</v>
      </c>
      <c r="E27" s="73">
        <f t="shared" si="5"/>
        <v>1474.9825208333334</v>
      </c>
      <c r="F27" s="73">
        <f t="shared" si="6"/>
        <v>9405.1066250883905</v>
      </c>
      <c r="G27" s="73">
        <f t="shared" si="7"/>
        <v>698586.5</v>
      </c>
      <c r="H27" s="276" t="s">
        <v>47</v>
      </c>
      <c r="I27" s="277"/>
      <c r="J27" s="73">
        <f t="shared" ref="J27:J31" si="8">SUM(D199:D210)</f>
        <v>0</v>
      </c>
    </row>
    <row r="28" spans="1:10" ht="15" customHeight="1">
      <c r="A28" s="79">
        <v>4</v>
      </c>
      <c r="C28" s="73">
        <f t="shared" si="3"/>
        <v>698586.5</v>
      </c>
      <c r="D28" s="73">
        <f t="shared" si="4"/>
        <v>10880.089145921724</v>
      </c>
      <c r="E28" s="73">
        <f t="shared" si="5"/>
        <v>1455.3885416666669</v>
      </c>
      <c r="F28" s="73">
        <f t="shared" si="6"/>
        <v>9424.7006042550565</v>
      </c>
      <c r="G28" s="73">
        <f t="shared" si="7"/>
        <v>689161.8</v>
      </c>
      <c r="H28" s="276" t="s">
        <v>48</v>
      </c>
      <c r="I28" s="277"/>
      <c r="J28" s="73">
        <f t="shared" si="8"/>
        <v>0</v>
      </c>
    </row>
    <row r="29" spans="1:10" ht="15" customHeight="1">
      <c r="A29" s="79">
        <v>5</v>
      </c>
      <c r="C29" s="73">
        <f t="shared" si="3"/>
        <v>689161.8</v>
      </c>
      <c r="D29" s="73">
        <f t="shared" si="4"/>
        <v>10880.089145921724</v>
      </c>
      <c r="E29" s="73">
        <f t="shared" si="5"/>
        <v>1435.7537500000001</v>
      </c>
      <c r="F29" s="73">
        <f t="shared" si="6"/>
        <v>9444.3353959217238</v>
      </c>
      <c r="G29" s="73">
        <f t="shared" si="7"/>
        <v>679717.46</v>
      </c>
      <c r="H29" s="276" t="s">
        <v>49</v>
      </c>
      <c r="I29" s="277"/>
      <c r="J29" s="73">
        <f t="shared" si="8"/>
        <v>0</v>
      </c>
    </row>
    <row r="30" spans="1:10" ht="15" customHeight="1">
      <c r="A30" s="79">
        <v>6</v>
      </c>
      <c r="C30" s="73">
        <f t="shared" si="3"/>
        <v>679717.46</v>
      </c>
      <c r="D30" s="73">
        <f t="shared" si="4"/>
        <v>10880.089145921724</v>
      </c>
      <c r="E30" s="73">
        <f t="shared" si="5"/>
        <v>1416.0780416666666</v>
      </c>
      <c r="F30" s="73">
        <f t="shared" si="6"/>
        <v>9464.0111042550561</v>
      </c>
      <c r="G30" s="73">
        <f t="shared" si="7"/>
        <v>670253.44999999995</v>
      </c>
      <c r="H30" s="276" t="s">
        <v>50</v>
      </c>
      <c r="I30" s="277"/>
      <c r="J30" s="73">
        <f t="shared" si="8"/>
        <v>0</v>
      </c>
    </row>
    <row r="31" spans="1:10" ht="15" customHeight="1">
      <c r="A31" s="79">
        <v>7</v>
      </c>
      <c r="C31" s="73">
        <f t="shared" si="3"/>
        <v>670253.44999999995</v>
      </c>
      <c r="D31" s="73">
        <f t="shared" si="4"/>
        <v>10880.089145921724</v>
      </c>
      <c r="E31" s="73">
        <f t="shared" si="5"/>
        <v>1396.3613541666666</v>
      </c>
      <c r="F31" s="73">
        <f t="shared" si="6"/>
        <v>9483.7277917550564</v>
      </c>
      <c r="G31" s="73">
        <f t="shared" si="7"/>
        <v>660769.72</v>
      </c>
      <c r="H31" s="276" t="s">
        <v>51</v>
      </c>
      <c r="I31" s="277"/>
      <c r="J31" s="73">
        <f t="shared" si="8"/>
        <v>0</v>
      </c>
    </row>
    <row r="32" spans="1:10">
      <c r="A32" s="79">
        <v>8</v>
      </c>
      <c r="C32" s="73">
        <f t="shared" si="3"/>
        <v>660769.72</v>
      </c>
      <c r="D32" s="73">
        <f t="shared" si="4"/>
        <v>10880.089145921724</v>
      </c>
      <c r="E32" s="73">
        <f t="shared" si="5"/>
        <v>1376.6035833333333</v>
      </c>
      <c r="F32" s="73">
        <f t="shared" si="6"/>
        <v>9503.4855625883902</v>
      </c>
      <c r="G32" s="73">
        <f t="shared" si="7"/>
        <v>651266.23</v>
      </c>
      <c r="I32" s="74"/>
    </row>
    <row r="33" spans="1:7">
      <c r="A33" s="79">
        <v>9</v>
      </c>
      <c r="C33" s="73">
        <f t="shared" si="3"/>
        <v>651266.23</v>
      </c>
      <c r="D33" s="73">
        <f t="shared" si="4"/>
        <v>10880.089145921724</v>
      </c>
      <c r="E33" s="73">
        <f t="shared" si="5"/>
        <v>1356.8046458333333</v>
      </c>
      <c r="F33" s="73">
        <f t="shared" si="6"/>
        <v>9523.2845000883899</v>
      </c>
      <c r="G33" s="73">
        <f t="shared" si="7"/>
        <v>641742.94999999995</v>
      </c>
    </row>
    <row r="34" spans="1:7">
      <c r="A34" s="79">
        <v>10</v>
      </c>
      <c r="C34" s="73">
        <f t="shared" si="3"/>
        <v>641742.94999999995</v>
      </c>
      <c r="D34" s="73">
        <f t="shared" si="4"/>
        <v>10880.089145921724</v>
      </c>
      <c r="E34" s="73">
        <f t="shared" si="5"/>
        <v>1336.9644791666667</v>
      </c>
      <c r="F34" s="73">
        <f t="shared" si="6"/>
        <v>9543.1246667550568</v>
      </c>
      <c r="G34" s="73">
        <f t="shared" si="7"/>
        <v>632199.82999999996</v>
      </c>
    </row>
    <row r="35" spans="1:7">
      <c r="A35" s="79">
        <v>11</v>
      </c>
      <c r="C35" s="73">
        <f t="shared" si="3"/>
        <v>632199.82999999996</v>
      </c>
      <c r="D35" s="73">
        <f t="shared" si="4"/>
        <v>10880.089145921724</v>
      </c>
      <c r="E35" s="73">
        <f t="shared" si="5"/>
        <v>1317.0829791666667</v>
      </c>
      <c r="F35" s="73">
        <f t="shared" si="6"/>
        <v>9563.0061667550563</v>
      </c>
      <c r="G35" s="73">
        <f t="shared" si="7"/>
        <v>622636.81999999995</v>
      </c>
    </row>
    <row r="36" spans="1:7">
      <c r="A36" s="79">
        <v>12</v>
      </c>
      <c r="B36" s="1">
        <v>1</v>
      </c>
      <c r="C36" s="73">
        <f t="shared" si="3"/>
        <v>622636.81999999995</v>
      </c>
      <c r="D36" s="73">
        <f t="shared" si="4"/>
        <v>10880.089145921724</v>
      </c>
      <c r="E36" s="73">
        <f t="shared" si="5"/>
        <v>1297.1600416666668</v>
      </c>
      <c r="F36" s="73">
        <f t="shared" si="6"/>
        <v>9582.9291042550576</v>
      </c>
      <c r="G36" s="73">
        <f t="shared" si="7"/>
        <v>613053.89</v>
      </c>
    </row>
    <row r="37" spans="1:7">
      <c r="A37" s="79">
        <v>13</v>
      </c>
      <c r="C37" s="73">
        <f t="shared" si="3"/>
        <v>613053.89</v>
      </c>
      <c r="D37" s="73">
        <f t="shared" si="4"/>
        <v>10880.089145921724</v>
      </c>
      <c r="E37" s="73">
        <f t="shared" si="5"/>
        <v>1277.1956041666667</v>
      </c>
      <c r="F37" s="73">
        <f t="shared" si="6"/>
        <v>9602.8935417550565</v>
      </c>
      <c r="G37" s="73">
        <f t="shared" si="7"/>
        <v>603451</v>
      </c>
    </row>
    <row r="38" spans="1:7">
      <c r="A38" s="79">
        <v>14</v>
      </c>
      <c r="C38" s="73">
        <f t="shared" si="3"/>
        <v>603451</v>
      </c>
      <c r="D38" s="73">
        <f t="shared" si="4"/>
        <v>10880.089145921724</v>
      </c>
      <c r="E38" s="73">
        <f t="shared" si="5"/>
        <v>1257.1895833333335</v>
      </c>
      <c r="F38" s="73">
        <f t="shared" si="6"/>
        <v>9622.8995625883908</v>
      </c>
      <c r="G38" s="73">
        <f t="shared" si="7"/>
        <v>593828.1</v>
      </c>
    </row>
    <row r="39" spans="1:7">
      <c r="A39" s="79">
        <v>15</v>
      </c>
      <c r="C39" s="73">
        <f t="shared" si="3"/>
        <v>593828.1</v>
      </c>
      <c r="D39" s="73">
        <f t="shared" si="4"/>
        <v>10880.089145921724</v>
      </c>
      <c r="E39" s="73">
        <f t="shared" si="5"/>
        <v>1237.141875</v>
      </c>
      <c r="F39" s="73">
        <f t="shared" si="6"/>
        <v>9642.9472709217243</v>
      </c>
      <c r="G39" s="73">
        <f t="shared" si="7"/>
        <v>584185.15</v>
      </c>
    </row>
    <row r="40" spans="1:7">
      <c r="A40" s="79">
        <v>16</v>
      </c>
      <c r="C40" s="73">
        <f t="shared" si="3"/>
        <v>584185.15</v>
      </c>
      <c r="D40" s="73">
        <f t="shared" si="4"/>
        <v>10880.089145921724</v>
      </c>
      <c r="E40" s="73">
        <f t="shared" si="5"/>
        <v>1217.0523958333335</v>
      </c>
      <c r="F40" s="73">
        <f t="shared" si="6"/>
        <v>9663.0367500883895</v>
      </c>
      <c r="G40" s="73">
        <f t="shared" si="7"/>
        <v>574522.11</v>
      </c>
    </row>
    <row r="41" spans="1:7">
      <c r="A41" s="79">
        <v>17</v>
      </c>
      <c r="C41" s="73">
        <f t="shared" si="3"/>
        <v>574522.11</v>
      </c>
      <c r="D41" s="73">
        <f t="shared" si="4"/>
        <v>10880.089145921724</v>
      </c>
      <c r="E41" s="73">
        <f t="shared" si="5"/>
        <v>1196.9210625000001</v>
      </c>
      <c r="F41" s="73">
        <f t="shared" si="6"/>
        <v>9683.1680834217241</v>
      </c>
      <c r="G41" s="73">
        <f t="shared" si="7"/>
        <v>564838.93999999994</v>
      </c>
    </row>
    <row r="42" spans="1:7">
      <c r="A42" s="79">
        <v>18</v>
      </c>
      <c r="C42" s="73">
        <f t="shared" si="3"/>
        <v>564838.93999999994</v>
      </c>
      <c r="D42" s="73">
        <f t="shared" si="4"/>
        <v>10880.089145921724</v>
      </c>
      <c r="E42" s="73">
        <f t="shared" si="5"/>
        <v>1176.7477916666667</v>
      </c>
      <c r="F42" s="73">
        <f t="shared" si="6"/>
        <v>9703.341354255057</v>
      </c>
      <c r="G42" s="73">
        <f t="shared" si="7"/>
        <v>555135.6</v>
      </c>
    </row>
    <row r="43" spans="1:7">
      <c r="A43" s="79">
        <v>19</v>
      </c>
      <c r="C43" s="73">
        <f t="shared" si="3"/>
        <v>555135.6</v>
      </c>
      <c r="D43" s="73">
        <f t="shared" si="4"/>
        <v>10880.089145921724</v>
      </c>
      <c r="E43" s="73">
        <f t="shared" si="5"/>
        <v>1156.5325</v>
      </c>
      <c r="F43" s="73">
        <f t="shared" si="6"/>
        <v>9723.5566459217243</v>
      </c>
      <c r="G43" s="73">
        <f t="shared" si="7"/>
        <v>545412.04</v>
      </c>
    </row>
    <row r="44" spans="1:7">
      <c r="A44" s="79">
        <v>20</v>
      </c>
      <c r="C44" s="73">
        <f t="shared" si="3"/>
        <v>545412.04</v>
      </c>
      <c r="D44" s="73">
        <f t="shared" si="4"/>
        <v>10880.089145921724</v>
      </c>
      <c r="E44" s="73">
        <f t="shared" si="5"/>
        <v>1136.2750833333334</v>
      </c>
      <c r="F44" s="73">
        <f t="shared" si="6"/>
        <v>9743.8140625883898</v>
      </c>
      <c r="G44" s="73">
        <f t="shared" si="7"/>
        <v>535668.23</v>
      </c>
    </row>
    <row r="45" spans="1:7">
      <c r="A45" s="79">
        <v>21</v>
      </c>
      <c r="C45" s="73">
        <f t="shared" si="3"/>
        <v>535668.23</v>
      </c>
      <c r="D45" s="73">
        <f t="shared" si="4"/>
        <v>10880.089145921724</v>
      </c>
      <c r="E45" s="73">
        <f t="shared" si="5"/>
        <v>1115.9754791666667</v>
      </c>
      <c r="F45" s="73">
        <f t="shared" si="6"/>
        <v>9764.1136667550563</v>
      </c>
      <c r="G45" s="73">
        <f t="shared" si="7"/>
        <v>525904.12</v>
      </c>
    </row>
    <row r="46" spans="1:7">
      <c r="A46" s="79">
        <v>22</v>
      </c>
      <c r="C46" s="73">
        <f t="shared" si="3"/>
        <v>525904.12</v>
      </c>
      <c r="D46" s="73">
        <f t="shared" si="4"/>
        <v>10880.089145921724</v>
      </c>
      <c r="E46" s="73">
        <f t="shared" si="5"/>
        <v>1095.6335833333335</v>
      </c>
      <c r="F46" s="73">
        <f t="shared" si="6"/>
        <v>9784.4555625883895</v>
      </c>
      <c r="G46" s="73">
        <f t="shared" si="7"/>
        <v>516119.66</v>
      </c>
    </row>
    <row r="47" spans="1:7">
      <c r="A47" s="79">
        <v>23</v>
      </c>
      <c r="C47" s="73">
        <f t="shared" si="3"/>
        <v>516119.66</v>
      </c>
      <c r="D47" s="73">
        <f t="shared" si="4"/>
        <v>10880.089145921724</v>
      </c>
      <c r="E47" s="73">
        <f t="shared" si="5"/>
        <v>1075.2492916666667</v>
      </c>
      <c r="F47" s="73">
        <f t="shared" si="6"/>
        <v>9804.8398542550567</v>
      </c>
      <c r="G47" s="73">
        <f t="shared" si="7"/>
        <v>506314.82</v>
      </c>
    </row>
    <row r="48" spans="1:7">
      <c r="A48" s="79">
        <v>24</v>
      </c>
      <c r="B48" s="1">
        <v>2</v>
      </c>
      <c r="C48" s="73">
        <f t="shared" si="3"/>
        <v>506314.82</v>
      </c>
      <c r="D48" s="73">
        <f t="shared" si="4"/>
        <v>10880.089145921724</v>
      </c>
      <c r="E48" s="73">
        <f t="shared" si="5"/>
        <v>1054.8225416666667</v>
      </c>
      <c r="F48" s="73">
        <f t="shared" si="6"/>
        <v>9825.2666042550572</v>
      </c>
      <c r="G48" s="73">
        <f t="shared" si="7"/>
        <v>496489.55</v>
      </c>
    </row>
    <row r="49" spans="1:7">
      <c r="A49" s="79">
        <v>25</v>
      </c>
      <c r="C49" s="73">
        <f t="shared" si="3"/>
        <v>496489.55</v>
      </c>
      <c r="D49" s="73">
        <f t="shared" si="4"/>
        <v>10880.089145921724</v>
      </c>
      <c r="E49" s="73">
        <f t="shared" si="5"/>
        <v>1034.3532291666668</v>
      </c>
      <c r="F49" s="73">
        <f t="shared" si="6"/>
        <v>9845.7359167550567</v>
      </c>
      <c r="G49" s="73">
        <f t="shared" si="7"/>
        <v>486643.81</v>
      </c>
    </row>
    <row r="50" spans="1:7">
      <c r="A50" s="79">
        <v>26</v>
      </c>
      <c r="C50" s="73">
        <f>IF(G49&gt;0,+G49,0)</f>
        <v>486643.81</v>
      </c>
      <c r="D50" s="73">
        <f t="shared" si="4"/>
        <v>10880.089145921724</v>
      </c>
      <c r="E50" s="73">
        <f>IF(D50&gt;0,+C50*$C$8/$C$10,0)</f>
        <v>1013.8412708333334</v>
      </c>
      <c r="F50" s="73">
        <f>IF(D50&gt;0,+D50-E50,0)</f>
        <v>9866.2478750883911</v>
      </c>
      <c r="G50" s="73">
        <f t="shared" si="7"/>
        <v>476777.56</v>
      </c>
    </row>
    <row r="51" spans="1:7">
      <c r="A51" s="79">
        <v>27</v>
      </c>
      <c r="C51" s="73">
        <f t="shared" ref="C51:C56" si="9">IF(G50&gt;0,+G50,0)</f>
        <v>476777.56</v>
      </c>
      <c r="D51" s="73">
        <f t="shared" si="4"/>
        <v>10880.089145921724</v>
      </c>
      <c r="E51" s="73">
        <f t="shared" ref="E51:E56" si="10">IF(D51&gt;0,+C51*$C$8/$C$10,0)</f>
        <v>993.2865833333334</v>
      </c>
      <c r="F51" s="73">
        <f t="shared" ref="F51:F56" si="11">IF(D51&gt;0,+D51-E51,0)</f>
        <v>9886.8025625883911</v>
      </c>
      <c r="G51" s="73">
        <f t="shared" si="7"/>
        <v>466890.76</v>
      </c>
    </row>
    <row r="52" spans="1:7">
      <c r="A52" s="79">
        <v>28</v>
      </c>
      <c r="C52" s="73">
        <f t="shared" si="9"/>
        <v>466890.76</v>
      </c>
      <c r="D52" s="73">
        <f t="shared" si="4"/>
        <v>10880.089145921724</v>
      </c>
      <c r="E52" s="73">
        <f t="shared" si="10"/>
        <v>972.68908333333331</v>
      </c>
      <c r="F52" s="73">
        <f t="shared" si="11"/>
        <v>9907.4000625883909</v>
      </c>
      <c r="G52" s="73">
        <f t="shared" si="7"/>
        <v>456983.36</v>
      </c>
    </row>
    <row r="53" spans="1:7">
      <c r="A53" s="79">
        <v>29</v>
      </c>
      <c r="C53" s="73">
        <f t="shared" si="9"/>
        <v>456983.36</v>
      </c>
      <c r="D53" s="73">
        <f t="shared" si="4"/>
        <v>10880.089145921724</v>
      </c>
      <c r="E53" s="73">
        <f t="shared" si="10"/>
        <v>952.04866666666669</v>
      </c>
      <c r="F53" s="73">
        <f t="shared" si="11"/>
        <v>9928.0404792550562</v>
      </c>
      <c r="G53" s="73">
        <f t="shared" si="7"/>
        <v>447055.32</v>
      </c>
    </row>
    <row r="54" spans="1:7">
      <c r="A54" s="79">
        <v>30</v>
      </c>
      <c r="C54" s="73">
        <f t="shared" si="9"/>
        <v>447055.32</v>
      </c>
      <c r="D54" s="73">
        <f t="shared" si="4"/>
        <v>10880.089145921724</v>
      </c>
      <c r="E54" s="73">
        <f t="shared" si="10"/>
        <v>931.36525000000017</v>
      </c>
      <c r="F54" s="73">
        <f t="shared" si="11"/>
        <v>9948.7238959217229</v>
      </c>
      <c r="G54" s="73">
        <f t="shared" si="7"/>
        <v>437106.6</v>
      </c>
    </row>
    <row r="55" spans="1:7">
      <c r="A55" s="79">
        <v>31</v>
      </c>
      <c r="C55" s="73">
        <f t="shared" si="9"/>
        <v>437106.6</v>
      </c>
      <c r="D55" s="73">
        <f t="shared" si="4"/>
        <v>10880.089145921724</v>
      </c>
      <c r="E55" s="73">
        <f t="shared" si="10"/>
        <v>910.63875000000007</v>
      </c>
      <c r="F55" s="73">
        <f t="shared" si="11"/>
        <v>9969.4503959217236</v>
      </c>
      <c r="G55" s="73">
        <f t="shared" si="7"/>
        <v>427137.15</v>
      </c>
    </row>
    <row r="56" spans="1:7">
      <c r="A56" s="79">
        <v>32</v>
      </c>
      <c r="C56" s="73">
        <f t="shared" si="9"/>
        <v>427137.15</v>
      </c>
      <c r="D56" s="73">
        <f t="shared" si="4"/>
        <v>10880.089145921724</v>
      </c>
      <c r="E56" s="73">
        <f t="shared" si="10"/>
        <v>889.86906250000004</v>
      </c>
      <c r="F56" s="73">
        <f t="shared" si="11"/>
        <v>9990.2200834217238</v>
      </c>
      <c r="G56" s="73">
        <f t="shared" si="7"/>
        <v>417146.93</v>
      </c>
    </row>
    <row r="57" spans="1:7">
      <c r="A57" s="79">
        <v>33</v>
      </c>
      <c r="C57" s="73">
        <f t="shared" ref="C57:C120" si="12">IF(G56&gt;0,+G56,0)</f>
        <v>417146.93</v>
      </c>
      <c r="D57" s="73">
        <f t="shared" si="4"/>
        <v>10880.089145921724</v>
      </c>
      <c r="E57" s="73">
        <f t="shared" ref="E57:E120" si="13">IF(D57&gt;0,+C57*$C$8/$C$10,0)</f>
        <v>869.05610416666661</v>
      </c>
      <c r="F57" s="73">
        <f t="shared" ref="F57:F120" si="14">IF(D57&gt;0,+D57-E57,0)</f>
        <v>10011.033041755058</v>
      </c>
      <c r="G57" s="73">
        <f t="shared" si="7"/>
        <v>407135.9</v>
      </c>
    </row>
    <row r="58" spans="1:7">
      <c r="A58" s="79">
        <v>34</v>
      </c>
      <c r="C58" s="73">
        <f t="shared" si="12"/>
        <v>407135.9</v>
      </c>
      <c r="D58" s="73">
        <f t="shared" si="4"/>
        <v>10880.089145921724</v>
      </c>
      <c r="E58" s="73">
        <f t="shared" si="13"/>
        <v>848.19979166666678</v>
      </c>
      <c r="F58" s="73">
        <f t="shared" si="14"/>
        <v>10031.889354255058</v>
      </c>
      <c r="G58" s="73">
        <f t="shared" si="7"/>
        <v>397104.01</v>
      </c>
    </row>
    <row r="59" spans="1:7">
      <c r="A59" s="79">
        <v>35</v>
      </c>
      <c r="C59" s="73">
        <f t="shared" si="12"/>
        <v>397104.01</v>
      </c>
      <c r="D59" s="73">
        <f t="shared" si="4"/>
        <v>10880.089145921724</v>
      </c>
      <c r="E59" s="73">
        <f t="shared" si="13"/>
        <v>827.30002083333341</v>
      </c>
      <c r="F59" s="73">
        <f t="shared" si="14"/>
        <v>10052.789125088389</v>
      </c>
      <c r="G59" s="73">
        <f t="shared" si="7"/>
        <v>387051.22</v>
      </c>
    </row>
    <row r="60" spans="1:7">
      <c r="A60" s="79">
        <v>36</v>
      </c>
      <c r="B60" s="1">
        <v>3</v>
      </c>
      <c r="C60" s="73">
        <f t="shared" si="12"/>
        <v>387051.22</v>
      </c>
      <c r="D60" s="73">
        <f t="shared" si="4"/>
        <v>10880.089145921724</v>
      </c>
      <c r="E60" s="73">
        <f t="shared" si="13"/>
        <v>806.35670833333324</v>
      </c>
      <c r="F60" s="73">
        <f t="shared" si="14"/>
        <v>10073.732437588391</v>
      </c>
      <c r="G60" s="73">
        <f t="shared" si="7"/>
        <v>376977.49</v>
      </c>
    </row>
    <row r="61" spans="1:7">
      <c r="A61" s="79">
        <v>37</v>
      </c>
      <c r="C61" s="73">
        <f t="shared" si="12"/>
        <v>376977.49</v>
      </c>
      <c r="D61" s="73">
        <f t="shared" si="4"/>
        <v>10880.089145921724</v>
      </c>
      <c r="E61" s="73">
        <f t="shared" si="13"/>
        <v>785.3697708333334</v>
      </c>
      <c r="F61" s="73">
        <f t="shared" si="14"/>
        <v>10094.719375088391</v>
      </c>
      <c r="G61" s="73">
        <f t="shared" si="7"/>
        <v>366882.77</v>
      </c>
    </row>
    <row r="62" spans="1:7">
      <c r="A62" s="79">
        <v>38</v>
      </c>
      <c r="C62" s="73">
        <f t="shared" si="12"/>
        <v>366882.77</v>
      </c>
      <c r="D62" s="73">
        <f t="shared" si="4"/>
        <v>10880.089145921724</v>
      </c>
      <c r="E62" s="73">
        <f t="shared" si="13"/>
        <v>764.33910416666674</v>
      </c>
      <c r="F62" s="73">
        <f t="shared" si="14"/>
        <v>10115.750041755056</v>
      </c>
      <c r="G62" s="73">
        <f t="shared" si="7"/>
        <v>356767.02</v>
      </c>
    </row>
    <row r="63" spans="1:7">
      <c r="A63" s="79">
        <v>39</v>
      </c>
      <c r="C63" s="73">
        <f t="shared" si="12"/>
        <v>356767.02</v>
      </c>
      <c r="D63" s="73">
        <f t="shared" si="4"/>
        <v>10880.089145921724</v>
      </c>
      <c r="E63" s="73">
        <f t="shared" si="13"/>
        <v>743.26462500000014</v>
      </c>
      <c r="F63" s="73">
        <f t="shared" si="14"/>
        <v>10136.824520921724</v>
      </c>
      <c r="G63" s="73">
        <f t="shared" si="7"/>
        <v>346630.2</v>
      </c>
    </row>
    <row r="64" spans="1:7">
      <c r="A64" s="79">
        <v>40</v>
      </c>
      <c r="C64" s="73">
        <f t="shared" si="12"/>
        <v>346630.2</v>
      </c>
      <c r="D64" s="73">
        <f t="shared" si="4"/>
        <v>10880.089145921724</v>
      </c>
      <c r="E64" s="73">
        <f t="shared" si="13"/>
        <v>722.14625000000012</v>
      </c>
      <c r="F64" s="73">
        <f t="shared" si="14"/>
        <v>10157.942895921724</v>
      </c>
      <c r="G64" s="73">
        <f t="shared" si="7"/>
        <v>336472.26</v>
      </c>
    </row>
    <row r="65" spans="1:7">
      <c r="A65" s="79">
        <v>41</v>
      </c>
      <c r="C65" s="73">
        <f t="shared" si="12"/>
        <v>336472.26</v>
      </c>
      <c r="D65" s="73">
        <f t="shared" si="4"/>
        <v>10880.089145921724</v>
      </c>
      <c r="E65" s="73">
        <f t="shared" si="13"/>
        <v>700.98387500000001</v>
      </c>
      <c r="F65" s="73">
        <f t="shared" si="14"/>
        <v>10179.105270921724</v>
      </c>
      <c r="G65" s="73">
        <f t="shared" si="7"/>
        <v>326293.15000000002</v>
      </c>
    </row>
    <row r="66" spans="1:7">
      <c r="A66" s="79">
        <v>42</v>
      </c>
      <c r="C66" s="73">
        <f t="shared" si="12"/>
        <v>326293.15000000002</v>
      </c>
      <c r="D66" s="73">
        <f t="shared" si="4"/>
        <v>10880.089145921724</v>
      </c>
      <c r="E66" s="73">
        <f t="shared" si="13"/>
        <v>679.77739583333334</v>
      </c>
      <c r="F66" s="73">
        <f t="shared" si="14"/>
        <v>10200.311750088391</v>
      </c>
      <c r="G66" s="73">
        <f t="shared" si="7"/>
        <v>316092.84000000003</v>
      </c>
    </row>
    <row r="67" spans="1:7">
      <c r="A67" s="79">
        <v>43</v>
      </c>
      <c r="C67" s="73">
        <f t="shared" si="12"/>
        <v>316092.84000000003</v>
      </c>
      <c r="D67" s="73">
        <f t="shared" si="4"/>
        <v>10880.089145921724</v>
      </c>
      <c r="E67" s="73">
        <f t="shared" si="13"/>
        <v>658.52675000000011</v>
      </c>
      <c r="F67" s="73">
        <f t="shared" si="14"/>
        <v>10221.562395921723</v>
      </c>
      <c r="G67" s="73">
        <f t="shared" si="7"/>
        <v>305871.28000000003</v>
      </c>
    </row>
    <row r="68" spans="1:7">
      <c r="A68" s="79">
        <v>44</v>
      </c>
      <c r="C68" s="73">
        <f t="shared" si="12"/>
        <v>305871.28000000003</v>
      </c>
      <c r="D68" s="73">
        <f t="shared" si="4"/>
        <v>10880.089145921724</v>
      </c>
      <c r="E68" s="73">
        <f t="shared" si="13"/>
        <v>637.23183333333338</v>
      </c>
      <c r="F68" s="73">
        <f t="shared" si="14"/>
        <v>10242.85731258839</v>
      </c>
      <c r="G68" s="73">
        <f t="shared" si="7"/>
        <v>295628.42</v>
      </c>
    </row>
    <row r="69" spans="1:7">
      <c r="A69" s="79">
        <v>45</v>
      </c>
      <c r="C69" s="73">
        <f t="shared" si="12"/>
        <v>295628.42</v>
      </c>
      <c r="D69" s="73">
        <f t="shared" si="4"/>
        <v>10880.089145921724</v>
      </c>
      <c r="E69" s="73">
        <f t="shared" si="13"/>
        <v>615.89254166666672</v>
      </c>
      <c r="F69" s="73">
        <f t="shared" si="14"/>
        <v>10264.196604255058</v>
      </c>
      <c r="G69" s="73">
        <f t="shared" si="7"/>
        <v>285364.21999999997</v>
      </c>
    </row>
    <row r="70" spans="1:7">
      <c r="A70" s="79">
        <v>46</v>
      </c>
      <c r="C70" s="73">
        <f t="shared" si="12"/>
        <v>285364.21999999997</v>
      </c>
      <c r="D70" s="73">
        <f t="shared" si="4"/>
        <v>10880.089145921724</v>
      </c>
      <c r="E70" s="73">
        <f t="shared" si="13"/>
        <v>594.50879166666664</v>
      </c>
      <c r="F70" s="73">
        <f t="shared" si="14"/>
        <v>10285.580354255057</v>
      </c>
      <c r="G70" s="73">
        <f t="shared" si="7"/>
        <v>275078.64</v>
      </c>
    </row>
    <row r="71" spans="1:7">
      <c r="A71" s="79">
        <v>47</v>
      </c>
      <c r="C71" s="73">
        <f t="shared" si="12"/>
        <v>275078.64</v>
      </c>
      <c r="D71" s="73">
        <f t="shared" si="4"/>
        <v>10880.089145921724</v>
      </c>
      <c r="E71" s="73">
        <f t="shared" si="13"/>
        <v>573.08050000000003</v>
      </c>
      <c r="F71" s="73">
        <f t="shared" si="14"/>
        <v>10307.008645921724</v>
      </c>
      <c r="G71" s="73">
        <f t="shared" si="7"/>
        <v>264771.63</v>
      </c>
    </row>
    <row r="72" spans="1:7">
      <c r="A72" s="79">
        <v>48</v>
      </c>
      <c r="B72" s="1">
        <v>4</v>
      </c>
      <c r="C72" s="73">
        <f t="shared" si="12"/>
        <v>264771.63</v>
      </c>
      <c r="D72" s="73">
        <f t="shared" si="4"/>
        <v>10880.089145921724</v>
      </c>
      <c r="E72" s="73">
        <f t="shared" si="13"/>
        <v>551.60756249999997</v>
      </c>
      <c r="F72" s="73">
        <f t="shared" si="14"/>
        <v>10328.481583421724</v>
      </c>
      <c r="G72" s="73">
        <f t="shared" si="7"/>
        <v>254443.15</v>
      </c>
    </row>
    <row r="73" spans="1:7">
      <c r="A73" s="79">
        <v>49</v>
      </c>
      <c r="C73" s="73">
        <f t="shared" si="12"/>
        <v>254443.15</v>
      </c>
      <c r="D73" s="73">
        <f t="shared" si="4"/>
        <v>10880.089145921724</v>
      </c>
      <c r="E73" s="73">
        <f t="shared" si="13"/>
        <v>530.08989583333334</v>
      </c>
      <c r="F73" s="73">
        <f t="shared" si="14"/>
        <v>10349.999250088391</v>
      </c>
      <c r="G73" s="73">
        <f t="shared" si="7"/>
        <v>244093.15</v>
      </c>
    </row>
    <row r="74" spans="1:7">
      <c r="A74" s="79">
        <v>50</v>
      </c>
      <c r="C74" s="73">
        <f t="shared" si="12"/>
        <v>244093.15</v>
      </c>
      <c r="D74" s="73">
        <f t="shared" si="4"/>
        <v>10880.089145921724</v>
      </c>
      <c r="E74" s="73">
        <f t="shared" si="13"/>
        <v>508.5273958333334</v>
      </c>
      <c r="F74" s="73">
        <f t="shared" si="14"/>
        <v>10371.561750088391</v>
      </c>
      <c r="G74" s="73">
        <f t="shared" si="7"/>
        <v>233721.59</v>
      </c>
    </row>
    <row r="75" spans="1:7">
      <c r="A75" s="79">
        <v>51</v>
      </c>
      <c r="C75" s="73">
        <f t="shared" si="12"/>
        <v>233721.59</v>
      </c>
      <c r="D75" s="73">
        <f t="shared" si="4"/>
        <v>10880.089145921724</v>
      </c>
      <c r="E75" s="73">
        <f t="shared" si="13"/>
        <v>486.91997916666668</v>
      </c>
      <c r="F75" s="73">
        <f t="shared" si="14"/>
        <v>10393.169166755057</v>
      </c>
      <c r="G75" s="73">
        <f t="shared" si="7"/>
        <v>223328.42</v>
      </c>
    </row>
    <row r="76" spans="1:7">
      <c r="A76" s="79">
        <v>52</v>
      </c>
      <c r="C76" s="73">
        <f t="shared" si="12"/>
        <v>223328.42</v>
      </c>
      <c r="D76" s="73">
        <f t="shared" si="4"/>
        <v>10880.089145921724</v>
      </c>
      <c r="E76" s="73">
        <f t="shared" si="13"/>
        <v>465.26754166666677</v>
      </c>
      <c r="F76" s="73">
        <f t="shared" si="14"/>
        <v>10414.821604255058</v>
      </c>
      <c r="G76" s="73">
        <f t="shared" si="7"/>
        <v>212913.6</v>
      </c>
    </row>
    <row r="77" spans="1:7">
      <c r="A77" s="79">
        <v>53</v>
      </c>
      <c r="C77" s="73">
        <f t="shared" si="12"/>
        <v>212913.6</v>
      </c>
      <c r="D77" s="73">
        <f t="shared" si="4"/>
        <v>10880.089145921724</v>
      </c>
      <c r="E77" s="73">
        <f t="shared" si="13"/>
        <v>443.57</v>
      </c>
      <c r="F77" s="73">
        <f t="shared" si="14"/>
        <v>10436.519145921724</v>
      </c>
      <c r="G77" s="73">
        <f t="shared" si="7"/>
        <v>202477.08</v>
      </c>
    </row>
    <row r="78" spans="1:7">
      <c r="A78" s="79">
        <v>54</v>
      </c>
      <c r="C78" s="73">
        <f t="shared" si="12"/>
        <v>202477.08</v>
      </c>
      <c r="D78" s="73">
        <f t="shared" si="4"/>
        <v>10880.089145921724</v>
      </c>
      <c r="E78" s="73">
        <f t="shared" si="13"/>
        <v>421.82724999999999</v>
      </c>
      <c r="F78" s="73">
        <f t="shared" si="14"/>
        <v>10458.261895921723</v>
      </c>
      <c r="G78" s="73">
        <f t="shared" si="7"/>
        <v>192018.82</v>
      </c>
    </row>
    <row r="79" spans="1:7">
      <c r="A79" s="79">
        <v>55</v>
      </c>
      <c r="C79" s="73">
        <f t="shared" si="12"/>
        <v>192018.82</v>
      </c>
      <c r="D79" s="73">
        <f t="shared" si="4"/>
        <v>10880.089145921724</v>
      </c>
      <c r="E79" s="73">
        <f t="shared" si="13"/>
        <v>400.03920833333336</v>
      </c>
      <c r="F79" s="73">
        <f t="shared" si="14"/>
        <v>10480.04993758839</v>
      </c>
      <c r="G79" s="73">
        <f t="shared" si="7"/>
        <v>181538.77</v>
      </c>
    </row>
    <row r="80" spans="1:7">
      <c r="A80" s="79">
        <v>56</v>
      </c>
      <c r="C80" s="73">
        <f t="shared" si="12"/>
        <v>181538.77</v>
      </c>
      <c r="D80" s="73">
        <f t="shared" si="4"/>
        <v>10880.089145921724</v>
      </c>
      <c r="E80" s="73">
        <f t="shared" si="13"/>
        <v>378.20577083333336</v>
      </c>
      <c r="F80" s="73">
        <f t="shared" si="14"/>
        <v>10501.88337508839</v>
      </c>
      <c r="G80" s="73">
        <f t="shared" si="7"/>
        <v>171036.89</v>
      </c>
    </row>
    <row r="81" spans="1:7">
      <c r="A81" s="79">
        <v>57</v>
      </c>
      <c r="C81" s="73">
        <f t="shared" si="12"/>
        <v>171036.89</v>
      </c>
      <c r="D81" s="73">
        <f t="shared" si="4"/>
        <v>10880.089145921724</v>
      </c>
      <c r="E81" s="73">
        <f t="shared" si="13"/>
        <v>356.32685416666669</v>
      </c>
      <c r="F81" s="73">
        <f t="shared" si="14"/>
        <v>10523.762291755056</v>
      </c>
      <c r="G81" s="73">
        <f t="shared" si="7"/>
        <v>160513.13</v>
      </c>
    </row>
    <row r="82" spans="1:7">
      <c r="A82" s="79">
        <v>58</v>
      </c>
      <c r="C82" s="73">
        <f t="shared" si="12"/>
        <v>160513.13</v>
      </c>
      <c r="D82" s="73">
        <f t="shared" si="4"/>
        <v>10880.089145921724</v>
      </c>
      <c r="E82" s="73">
        <f t="shared" si="13"/>
        <v>334.40235416666673</v>
      </c>
      <c r="F82" s="73">
        <f t="shared" si="14"/>
        <v>10545.686791755057</v>
      </c>
      <c r="G82" s="73">
        <f t="shared" si="7"/>
        <v>149967.44</v>
      </c>
    </row>
    <row r="83" spans="1:7">
      <c r="A83" s="79">
        <v>59</v>
      </c>
      <c r="C83" s="73">
        <f t="shared" si="12"/>
        <v>149967.44</v>
      </c>
      <c r="D83" s="73">
        <f t="shared" si="4"/>
        <v>10880.089145921724</v>
      </c>
      <c r="E83" s="73">
        <f t="shared" si="13"/>
        <v>312.43216666666666</v>
      </c>
      <c r="F83" s="73">
        <f t="shared" si="14"/>
        <v>10567.656979255056</v>
      </c>
      <c r="G83" s="73">
        <f t="shared" si="7"/>
        <v>139399.78</v>
      </c>
    </row>
    <row r="84" spans="1:7">
      <c r="A84" s="79">
        <v>60</v>
      </c>
      <c r="B84" s="1">
        <v>5</v>
      </c>
      <c r="C84" s="73">
        <f t="shared" si="12"/>
        <v>139399.78</v>
      </c>
      <c r="D84" s="73">
        <f t="shared" si="4"/>
        <v>10880.089145921724</v>
      </c>
      <c r="E84" s="73">
        <f t="shared" si="13"/>
        <v>290.41620833333337</v>
      </c>
      <c r="F84" s="73">
        <f t="shared" si="14"/>
        <v>10589.67293758839</v>
      </c>
      <c r="G84" s="73">
        <f t="shared" si="7"/>
        <v>128810.11</v>
      </c>
    </row>
    <row r="85" spans="1:7">
      <c r="A85" s="79">
        <v>61</v>
      </c>
      <c r="C85" s="73">
        <f t="shared" si="12"/>
        <v>128810.11</v>
      </c>
      <c r="D85" s="73">
        <f t="shared" si="4"/>
        <v>10880.089145921724</v>
      </c>
      <c r="E85" s="73">
        <f t="shared" si="13"/>
        <v>268.35439583333334</v>
      </c>
      <c r="F85" s="73">
        <f t="shared" si="14"/>
        <v>10611.73475008839</v>
      </c>
      <c r="G85" s="73">
        <f t="shared" si="7"/>
        <v>118198.38</v>
      </c>
    </row>
    <row r="86" spans="1:7">
      <c r="A86" s="79">
        <v>62</v>
      </c>
      <c r="C86" s="73">
        <f t="shared" si="12"/>
        <v>118198.38</v>
      </c>
      <c r="D86" s="73">
        <f t="shared" si="4"/>
        <v>10880.089145921724</v>
      </c>
      <c r="E86" s="73">
        <f t="shared" si="13"/>
        <v>246.24662500000002</v>
      </c>
      <c r="F86" s="73">
        <f t="shared" si="14"/>
        <v>10633.842520921724</v>
      </c>
      <c r="G86" s="73">
        <f t="shared" si="7"/>
        <v>107564.54</v>
      </c>
    </row>
    <row r="87" spans="1:7">
      <c r="A87" s="79">
        <v>63</v>
      </c>
      <c r="C87" s="73">
        <f t="shared" si="12"/>
        <v>107564.54</v>
      </c>
      <c r="D87" s="73">
        <f t="shared" si="4"/>
        <v>10880.089145921724</v>
      </c>
      <c r="E87" s="73">
        <f t="shared" si="13"/>
        <v>224.09279166666667</v>
      </c>
      <c r="F87" s="73">
        <f t="shared" si="14"/>
        <v>10655.996354255058</v>
      </c>
      <c r="G87" s="73">
        <f t="shared" si="7"/>
        <v>96908.54</v>
      </c>
    </row>
    <row r="88" spans="1:7">
      <c r="A88" s="79">
        <v>64</v>
      </c>
      <c r="C88" s="73">
        <f t="shared" si="12"/>
        <v>96908.54</v>
      </c>
      <c r="D88" s="73">
        <f t="shared" si="4"/>
        <v>10880.089145921724</v>
      </c>
      <c r="E88" s="73">
        <f t="shared" si="13"/>
        <v>201.89279166666665</v>
      </c>
      <c r="F88" s="73">
        <f t="shared" si="14"/>
        <v>10678.196354255057</v>
      </c>
      <c r="G88" s="73">
        <f t="shared" si="7"/>
        <v>86230.34</v>
      </c>
    </row>
    <row r="89" spans="1:7">
      <c r="A89" s="79">
        <v>65</v>
      </c>
      <c r="C89" s="73">
        <f t="shared" si="12"/>
        <v>86230.34</v>
      </c>
      <c r="D89" s="73">
        <f t="shared" si="4"/>
        <v>10880.089145921724</v>
      </c>
      <c r="E89" s="73">
        <f t="shared" si="13"/>
        <v>179.64654166666665</v>
      </c>
      <c r="F89" s="73">
        <f t="shared" si="14"/>
        <v>10700.442604255057</v>
      </c>
      <c r="G89" s="73">
        <f t="shared" si="7"/>
        <v>75529.899999999994</v>
      </c>
    </row>
    <row r="90" spans="1:7">
      <c r="A90" s="79">
        <v>66</v>
      </c>
      <c r="C90" s="73">
        <f t="shared" si="12"/>
        <v>75529.899999999994</v>
      </c>
      <c r="D90" s="73">
        <f t="shared" ref="D90:D153" si="15">IF(A90&lt;=$C$10*$C$9,$C$11,IF(C90&gt;0,C90,0))</f>
        <v>10880.089145921724</v>
      </c>
      <c r="E90" s="73">
        <f t="shared" si="13"/>
        <v>157.35395833333334</v>
      </c>
      <c r="F90" s="73">
        <f t="shared" si="14"/>
        <v>10722.735187588391</v>
      </c>
      <c r="G90" s="73">
        <f t="shared" ref="G90:G153" si="16">IF(AND(A90&gt;$C$9*$C$10,G89&lt;=0),0,ROUND(C90-F90,2))</f>
        <v>64807.16</v>
      </c>
    </row>
    <row r="91" spans="1:7">
      <c r="A91" s="79">
        <v>67</v>
      </c>
      <c r="C91" s="73">
        <f t="shared" si="12"/>
        <v>64807.16</v>
      </c>
      <c r="D91" s="73">
        <f t="shared" si="15"/>
        <v>10880.089145921724</v>
      </c>
      <c r="E91" s="73">
        <f t="shared" si="13"/>
        <v>135.01491666666666</v>
      </c>
      <c r="F91" s="73">
        <f t="shared" si="14"/>
        <v>10745.074229255057</v>
      </c>
      <c r="G91" s="73">
        <f t="shared" si="16"/>
        <v>54062.09</v>
      </c>
    </row>
    <row r="92" spans="1:7">
      <c r="A92" s="79">
        <v>68</v>
      </c>
      <c r="C92" s="73">
        <f t="shared" si="12"/>
        <v>54062.09</v>
      </c>
      <c r="D92" s="73">
        <f t="shared" si="15"/>
        <v>10880.089145921724</v>
      </c>
      <c r="E92" s="73">
        <f t="shared" si="13"/>
        <v>112.62935416666666</v>
      </c>
      <c r="F92" s="73">
        <f t="shared" si="14"/>
        <v>10767.459791755056</v>
      </c>
      <c r="G92" s="73">
        <f t="shared" si="16"/>
        <v>43294.63</v>
      </c>
    </row>
    <row r="93" spans="1:7">
      <c r="A93" s="79">
        <v>69</v>
      </c>
      <c r="C93" s="73">
        <f t="shared" si="12"/>
        <v>43294.63</v>
      </c>
      <c r="D93" s="73">
        <f t="shared" si="15"/>
        <v>10880.089145921724</v>
      </c>
      <c r="E93" s="73">
        <f t="shared" si="13"/>
        <v>90.197145833333323</v>
      </c>
      <c r="F93" s="73">
        <f t="shared" si="14"/>
        <v>10789.89200008839</v>
      </c>
      <c r="G93" s="73">
        <f t="shared" si="16"/>
        <v>32504.74</v>
      </c>
    </row>
    <row r="94" spans="1:7">
      <c r="A94" s="79">
        <v>70</v>
      </c>
      <c r="C94" s="73">
        <f t="shared" si="12"/>
        <v>32504.74</v>
      </c>
      <c r="D94" s="73">
        <f t="shared" si="15"/>
        <v>10880.089145921724</v>
      </c>
      <c r="E94" s="73">
        <f t="shared" si="13"/>
        <v>67.718208333333337</v>
      </c>
      <c r="F94" s="73">
        <f t="shared" si="14"/>
        <v>10812.37093758839</v>
      </c>
      <c r="G94" s="73">
        <f t="shared" si="16"/>
        <v>21692.37</v>
      </c>
    </row>
    <row r="95" spans="1:7">
      <c r="A95" s="79">
        <v>71</v>
      </c>
      <c r="C95" s="73">
        <f t="shared" si="12"/>
        <v>21692.37</v>
      </c>
      <c r="D95" s="73">
        <f t="shared" si="15"/>
        <v>10880.089145921724</v>
      </c>
      <c r="E95" s="73">
        <f t="shared" si="13"/>
        <v>45.192437500000004</v>
      </c>
      <c r="F95" s="73">
        <f t="shared" si="14"/>
        <v>10834.896708421724</v>
      </c>
      <c r="G95" s="73">
        <f t="shared" si="16"/>
        <v>10857.47</v>
      </c>
    </row>
    <row r="96" spans="1:7">
      <c r="A96" s="79">
        <v>72</v>
      </c>
      <c r="B96" s="1">
        <v>6</v>
      </c>
      <c r="C96" s="73">
        <f t="shared" si="12"/>
        <v>10857.47</v>
      </c>
      <c r="D96" s="73">
        <f t="shared" si="15"/>
        <v>10880.089145921724</v>
      </c>
      <c r="E96" s="73">
        <f t="shared" si="13"/>
        <v>22.619729166666669</v>
      </c>
      <c r="F96" s="73">
        <f t="shared" si="14"/>
        <v>10857.469416755057</v>
      </c>
      <c r="G96" s="73">
        <f t="shared" si="16"/>
        <v>0</v>
      </c>
    </row>
    <row r="97" spans="1:7">
      <c r="A97" s="79">
        <v>73</v>
      </c>
      <c r="C97" s="73">
        <f t="shared" si="12"/>
        <v>0</v>
      </c>
      <c r="D97" s="73">
        <f t="shared" si="15"/>
        <v>0</v>
      </c>
      <c r="E97" s="73">
        <f t="shared" si="13"/>
        <v>0</v>
      </c>
      <c r="F97" s="73">
        <f t="shared" si="14"/>
        <v>0</v>
      </c>
      <c r="G97" s="73">
        <f t="shared" si="16"/>
        <v>0</v>
      </c>
    </row>
    <row r="98" spans="1:7">
      <c r="A98" s="79">
        <v>74</v>
      </c>
      <c r="C98" s="73">
        <f t="shared" si="12"/>
        <v>0</v>
      </c>
      <c r="D98" s="73">
        <f t="shared" si="15"/>
        <v>0</v>
      </c>
      <c r="E98" s="73">
        <f t="shared" si="13"/>
        <v>0</v>
      </c>
      <c r="F98" s="73">
        <f t="shared" si="14"/>
        <v>0</v>
      </c>
      <c r="G98" s="73">
        <f t="shared" si="16"/>
        <v>0</v>
      </c>
    </row>
    <row r="99" spans="1:7">
      <c r="A99" s="79">
        <v>75</v>
      </c>
      <c r="C99" s="73">
        <f t="shared" si="12"/>
        <v>0</v>
      </c>
      <c r="D99" s="73">
        <f t="shared" si="15"/>
        <v>0</v>
      </c>
      <c r="E99" s="73">
        <f t="shared" si="13"/>
        <v>0</v>
      </c>
      <c r="F99" s="73">
        <f t="shared" si="14"/>
        <v>0</v>
      </c>
      <c r="G99" s="73">
        <f t="shared" si="16"/>
        <v>0</v>
      </c>
    </row>
    <row r="100" spans="1:7">
      <c r="A100" s="79">
        <v>76</v>
      </c>
      <c r="C100" s="73">
        <f t="shared" si="12"/>
        <v>0</v>
      </c>
      <c r="D100" s="73">
        <f t="shared" si="15"/>
        <v>0</v>
      </c>
      <c r="E100" s="73">
        <f t="shared" si="13"/>
        <v>0</v>
      </c>
      <c r="F100" s="73">
        <f t="shared" si="14"/>
        <v>0</v>
      </c>
      <c r="G100" s="73">
        <f t="shared" si="16"/>
        <v>0</v>
      </c>
    </row>
    <row r="101" spans="1:7">
      <c r="A101" s="79">
        <v>77</v>
      </c>
      <c r="C101" s="73">
        <f t="shared" si="12"/>
        <v>0</v>
      </c>
      <c r="D101" s="73">
        <f t="shared" si="15"/>
        <v>0</v>
      </c>
      <c r="E101" s="73">
        <f t="shared" si="13"/>
        <v>0</v>
      </c>
      <c r="F101" s="73">
        <f t="shared" si="14"/>
        <v>0</v>
      </c>
      <c r="G101" s="73">
        <f t="shared" si="16"/>
        <v>0</v>
      </c>
    </row>
    <row r="102" spans="1:7">
      <c r="A102" s="79">
        <v>78</v>
      </c>
      <c r="C102" s="73">
        <f t="shared" si="12"/>
        <v>0</v>
      </c>
      <c r="D102" s="73">
        <f t="shared" si="15"/>
        <v>0</v>
      </c>
      <c r="E102" s="73">
        <f t="shared" si="13"/>
        <v>0</v>
      </c>
      <c r="F102" s="73">
        <f t="shared" si="14"/>
        <v>0</v>
      </c>
      <c r="G102" s="73">
        <f t="shared" si="16"/>
        <v>0</v>
      </c>
    </row>
    <row r="103" spans="1:7">
      <c r="A103" s="79">
        <v>79</v>
      </c>
      <c r="C103" s="73">
        <f t="shared" si="12"/>
        <v>0</v>
      </c>
      <c r="D103" s="73">
        <f t="shared" si="15"/>
        <v>0</v>
      </c>
      <c r="E103" s="73">
        <f t="shared" si="13"/>
        <v>0</v>
      </c>
      <c r="F103" s="73">
        <f t="shared" si="14"/>
        <v>0</v>
      </c>
      <c r="G103" s="73">
        <f t="shared" si="16"/>
        <v>0</v>
      </c>
    </row>
    <row r="104" spans="1:7">
      <c r="A104" s="79">
        <v>80</v>
      </c>
      <c r="C104" s="73">
        <f t="shared" si="12"/>
        <v>0</v>
      </c>
      <c r="D104" s="73">
        <f t="shared" si="15"/>
        <v>0</v>
      </c>
      <c r="E104" s="73">
        <f t="shared" si="13"/>
        <v>0</v>
      </c>
      <c r="F104" s="73">
        <f t="shared" si="14"/>
        <v>0</v>
      </c>
      <c r="G104" s="73">
        <f t="shared" si="16"/>
        <v>0</v>
      </c>
    </row>
    <row r="105" spans="1:7">
      <c r="A105" s="79">
        <v>81</v>
      </c>
      <c r="C105" s="73">
        <f t="shared" si="12"/>
        <v>0</v>
      </c>
      <c r="D105" s="73">
        <f t="shared" si="15"/>
        <v>0</v>
      </c>
      <c r="E105" s="73">
        <f t="shared" si="13"/>
        <v>0</v>
      </c>
      <c r="F105" s="73">
        <f t="shared" si="14"/>
        <v>0</v>
      </c>
      <c r="G105" s="73">
        <f t="shared" si="16"/>
        <v>0</v>
      </c>
    </row>
    <row r="106" spans="1:7">
      <c r="A106" s="79">
        <v>82</v>
      </c>
      <c r="C106" s="73">
        <f t="shared" si="12"/>
        <v>0</v>
      </c>
      <c r="D106" s="73">
        <f t="shared" si="15"/>
        <v>0</v>
      </c>
      <c r="E106" s="73">
        <f t="shared" si="13"/>
        <v>0</v>
      </c>
      <c r="F106" s="73">
        <f t="shared" si="14"/>
        <v>0</v>
      </c>
      <c r="G106" s="73">
        <f t="shared" si="16"/>
        <v>0</v>
      </c>
    </row>
    <row r="107" spans="1:7">
      <c r="A107" s="79">
        <v>83</v>
      </c>
      <c r="C107" s="73">
        <f t="shared" si="12"/>
        <v>0</v>
      </c>
      <c r="D107" s="73">
        <f t="shared" si="15"/>
        <v>0</v>
      </c>
      <c r="E107" s="73">
        <f t="shared" si="13"/>
        <v>0</v>
      </c>
      <c r="F107" s="73">
        <f t="shared" si="14"/>
        <v>0</v>
      </c>
      <c r="G107" s="73">
        <f t="shared" si="16"/>
        <v>0</v>
      </c>
    </row>
    <row r="108" spans="1:7">
      <c r="A108" s="79">
        <v>84</v>
      </c>
      <c r="B108" s="1">
        <v>7</v>
      </c>
      <c r="C108" s="73">
        <f t="shared" si="12"/>
        <v>0</v>
      </c>
      <c r="D108" s="73">
        <f t="shared" si="15"/>
        <v>0</v>
      </c>
      <c r="E108" s="73">
        <f t="shared" si="13"/>
        <v>0</v>
      </c>
      <c r="F108" s="73">
        <f t="shared" si="14"/>
        <v>0</v>
      </c>
      <c r="G108" s="73">
        <f t="shared" si="16"/>
        <v>0</v>
      </c>
    </row>
    <row r="109" spans="1:7">
      <c r="A109" s="79">
        <v>85</v>
      </c>
      <c r="C109" s="73">
        <f t="shared" si="12"/>
        <v>0</v>
      </c>
      <c r="D109" s="73">
        <f t="shared" si="15"/>
        <v>0</v>
      </c>
      <c r="E109" s="73">
        <f t="shared" si="13"/>
        <v>0</v>
      </c>
      <c r="F109" s="73">
        <f t="shared" si="14"/>
        <v>0</v>
      </c>
      <c r="G109" s="73">
        <f t="shared" si="16"/>
        <v>0</v>
      </c>
    </row>
    <row r="110" spans="1:7">
      <c r="A110" s="79">
        <v>86</v>
      </c>
      <c r="C110" s="73">
        <f t="shared" si="12"/>
        <v>0</v>
      </c>
      <c r="D110" s="73">
        <f t="shared" si="15"/>
        <v>0</v>
      </c>
      <c r="E110" s="73">
        <f t="shared" si="13"/>
        <v>0</v>
      </c>
      <c r="F110" s="73">
        <f t="shared" si="14"/>
        <v>0</v>
      </c>
      <c r="G110" s="73">
        <f t="shared" si="16"/>
        <v>0</v>
      </c>
    </row>
    <row r="111" spans="1:7">
      <c r="A111" s="79">
        <v>87</v>
      </c>
      <c r="C111" s="73">
        <f t="shared" si="12"/>
        <v>0</v>
      </c>
      <c r="D111" s="73">
        <f t="shared" si="15"/>
        <v>0</v>
      </c>
      <c r="E111" s="73">
        <f t="shared" si="13"/>
        <v>0</v>
      </c>
      <c r="F111" s="73">
        <f t="shared" si="14"/>
        <v>0</v>
      </c>
      <c r="G111" s="73">
        <f t="shared" si="16"/>
        <v>0</v>
      </c>
    </row>
    <row r="112" spans="1:7">
      <c r="A112" s="79">
        <v>88</v>
      </c>
      <c r="C112" s="73">
        <f t="shared" si="12"/>
        <v>0</v>
      </c>
      <c r="D112" s="73">
        <f t="shared" si="15"/>
        <v>0</v>
      </c>
      <c r="E112" s="73">
        <f t="shared" si="13"/>
        <v>0</v>
      </c>
      <c r="F112" s="73">
        <f t="shared" si="14"/>
        <v>0</v>
      </c>
      <c r="G112" s="73">
        <f t="shared" si="16"/>
        <v>0</v>
      </c>
    </row>
    <row r="113" spans="1:7">
      <c r="A113" s="79">
        <v>89</v>
      </c>
      <c r="C113" s="73">
        <f t="shared" si="12"/>
        <v>0</v>
      </c>
      <c r="D113" s="73">
        <f t="shared" si="15"/>
        <v>0</v>
      </c>
      <c r="E113" s="73">
        <f t="shared" si="13"/>
        <v>0</v>
      </c>
      <c r="F113" s="73">
        <f t="shared" si="14"/>
        <v>0</v>
      </c>
      <c r="G113" s="73">
        <f t="shared" si="16"/>
        <v>0</v>
      </c>
    </row>
    <row r="114" spans="1:7">
      <c r="A114" s="79">
        <v>90</v>
      </c>
      <c r="C114" s="73">
        <f t="shared" si="12"/>
        <v>0</v>
      </c>
      <c r="D114" s="73">
        <f t="shared" si="15"/>
        <v>0</v>
      </c>
      <c r="E114" s="73">
        <f t="shared" si="13"/>
        <v>0</v>
      </c>
      <c r="F114" s="73">
        <f t="shared" si="14"/>
        <v>0</v>
      </c>
      <c r="G114" s="73">
        <f t="shared" si="16"/>
        <v>0</v>
      </c>
    </row>
    <row r="115" spans="1:7">
      <c r="A115" s="79">
        <v>91</v>
      </c>
      <c r="C115" s="73">
        <f t="shared" si="12"/>
        <v>0</v>
      </c>
      <c r="D115" s="73">
        <f t="shared" si="15"/>
        <v>0</v>
      </c>
      <c r="E115" s="73">
        <f t="shared" si="13"/>
        <v>0</v>
      </c>
      <c r="F115" s="73">
        <f t="shared" si="14"/>
        <v>0</v>
      </c>
      <c r="G115" s="73">
        <f t="shared" si="16"/>
        <v>0</v>
      </c>
    </row>
    <row r="116" spans="1:7">
      <c r="A116" s="79">
        <v>92</v>
      </c>
      <c r="C116" s="73">
        <f t="shared" si="12"/>
        <v>0</v>
      </c>
      <c r="D116" s="73">
        <f t="shared" si="15"/>
        <v>0</v>
      </c>
      <c r="E116" s="73">
        <f t="shared" si="13"/>
        <v>0</v>
      </c>
      <c r="F116" s="73">
        <f t="shared" si="14"/>
        <v>0</v>
      </c>
      <c r="G116" s="73">
        <f t="shared" si="16"/>
        <v>0</v>
      </c>
    </row>
    <row r="117" spans="1:7">
      <c r="A117" s="79">
        <v>93</v>
      </c>
      <c r="C117" s="73">
        <f t="shared" si="12"/>
        <v>0</v>
      </c>
      <c r="D117" s="73">
        <f t="shared" si="15"/>
        <v>0</v>
      </c>
      <c r="E117" s="73">
        <f t="shared" si="13"/>
        <v>0</v>
      </c>
      <c r="F117" s="73">
        <f t="shared" si="14"/>
        <v>0</v>
      </c>
      <c r="G117" s="73">
        <f t="shared" si="16"/>
        <v>0</v>
      </c>
    </row>
    <row r="118" spans="1:7">
      <c r="A118" s="79">
        <v>94</v>
      </c>
      <c r="C118" s="73">
        <f t="shared" si="12"/>
        <v>0</v>
      </c>
      <c r="D118" s="73">
        <f t="shared" si="15"/>
        <v>0</v>
      </c>
      <c r="E118" s="73">
        <f t="shared" si="13"/>
        <v>0</v>
      </c>
      <c r="F118" s="73">
        <f t="shared" si="14"/>
        <v>0</v>
      </c>
      <c r="G118" s="73">
        <f t="shared" si="16"/>
        <v>0</v>
      </c>
    </row>
    <row r="119" spans="1:7">
      <c r="A119" s="79">
        <v>95</v>
      </c>
      <c r="C119" s="73">
        <f t="shared" si="12"/>
        <v>0</v>
      </c>
      <c r="D119" s="73">
        <f t="shared" si="15"/>
        <v>0</v>
      </c>
      <c r="E119" s="73">
        <f t="shared" si="13"/>
        <v>0</v>
      </c>
      <c r="F119" s="73">
        <f t="shared" si="14"/>
        <v>0</v>
      </c>
      <c r="G119" s="73">
        <f t="shared" si="16"/>
        <v>0</v>
      </c>
    </row>
    <row r="120" spans="1:7">
      <c r="A120" s="79">
        <v>96</v>
      </c>
      <c r="B120" s="1">
        <v>8</v>
      </c>
      <c r="C120" s="73">
        <f t="shared" si="12"/>
        <v>0</v>
      </c>
      <c r="D120" s="73">
        <f t="shared" si="15"/>
        <v>0</v>
      </c>
      <c r="E120" s="73">
        <f t="shared" si="13"/>
        <v>0</v>
      </c>
      <c r="F120" s="73">
        <f t="shared" si="14"/>
        <v>0</v>
      </c>
      <c r="G120" s="73">
        <f t="shared" si="16"/>
        <v>0</v>
      </c>
    </row>
    <row r="121" spans="1:7">
      <c r="A121" s="79">
        <v>97</v>
      </c>
      <c r="C121" s="73">
        <f t="shared" ref="C121:C184" si="17">IF(G120&gt;0,+G120,0)</f>
        <v>0</v>
      </c>
      <c r="D121" s="73">
        <f t="shared" si="15"/>
        <v>0</v>
      </c>
      <c r="E121" s="73">
        <f t="shared" ref="E121:E184" si="18">IF(D121&gt;0,+C121*$C$8/$C$10,0)</f>
        <v>0</v>
      </c>
      <c r="F121" s="73">
        <f t="shared" ref="F121:F184" si="19">IF(D121&gt;0,+D121-E121,0)</f>
        <v>0</v>
      </c>
      <c r="G121" s="73">
        <f t="shared" si="16"/>
        <v>0</v>
      </c>
    </row>
    <row r="122" spans="1:7">
      <c r="A122" s="79">
        <v>98</v>
      </c>
      <c r="C122" s="73">
        <f t="shared" si="17"/>
        <v>0</v>
      </c>
      <c r="D122" s="73">
        <f t="shared" si="15"/>
        <v>0</v>
      </c>
      <c r="E122" s="73">
        <f t="shared" si="18"/>
        <v>0</v>
      </c>
      <c r="F122" s="73">
        <f t="shared" si="19"/>
        <v>0</v>
      </c>
      <c r="G122" s="73">
        <f t="shared" si="16"/>
        <v>0</v>
      </c>
    </row>
    <row r="123" spans="1:7">
      <c r="A123" s="79">
        <v>99</v>
      </c>
      <c r="C123" s="73">
        <f t="shared" si="17"/>
        <v>0</v>
      </c>
      <c r="D123" s="73">
        <f t="shared" si="15"/>
        <v>0</v>
      </c>
      <c r="E123" s="73">
        <f t="shared" si="18"/>
        <v>0</v>
      </c>
      <c r="F123" s="73">
        <f t="shared" si="19"/>
        <v>0</v>
      </c>
      <c r="G123" s="73">
        <f t="shared" si="16"/>
        <v>0</v>
      </c>
    </row>
    <row r="124" spans="1:7">
      <c r="A124" s="79">
        <v>100</v>
      </c>
      <c r="C124" s="73">
        <f t="shared" si="17"/>
        <v>0</v>
      </c>
      <c r="D124" s="73">
        <f t="shared" si="15"/>
        <v>0</v>
      </c>
      <c r="E124" s="73">
        <f t="shared" si="18"/>
        <v>0</v>
      </c>
      <c r="F124" s="73">
        <f t="shared" si="19"/>
        <v>0</v>
      </c>
      <c r="G124" s="73">
        <f t="shared" si="16"/>
        <v>0</v>
      </c>
    </row>
    <row r="125" spans="1:7">
      <c r="A125" s="79">
        <v>101</v>
      </c>
      <c r="C125" s="73">
        <f t="shared" si="17"/>
        <v>0</v>
      </c>
      <c r="D125" s="73">
        <f t="shared" si="15"/>
        <v>0</v>
      </c>
      <c r="E125" s="73">
        <f t="shared" si="18"/>
        <v>0</v>
      </c>
      <c r="F125" s="73">
        <f t="shared" si="19"/>
        <v>0</v>
      </c>
      <c r="G125" s="73">
        <f t="shared" si="16"/>
        <v>0</v>
      </c>
    </row>
    <row r="126" spans="1:7">
      <c r="A126" s="79">
        <v>102</v>
      </c>
      <c r="C126" s="73">
        <f t="shared" si="17"/>
        <v>0</v>
      </c>
      <c r="D126" s="73">
        <f t="shared" si="15"/>
        <v>0</v>
      </c>
      <c r="E126" s="73">
        <f t="shared" si="18"/>
        <v>0</v>
      </c>
      <c r="F126" s="73">
        <f t="shared" si="19"/>
        <v>0</v>
      </c>
      <c r="G126" s="73">
        <f t="shared" si="16"/>
        <v>0</v>
      </c>
    </row>
    <row r="127" spans="1:7">
      <c r="A127" s="79">
        <v>103</v>
      </c>
      <c r="C127" s="73">
        <f t="shared" si="17"/>
        <v>0</v>
      </c>
      <c r="D127" s="73">
        <f t="shared" si="15"/>
        <v>0</v>
      </c>
      <c r="E127" s="73">
        <f t="shared" si="18"/>
        <v>0</v>
      </c>
      <c r="F127" s="73">
        <f t="shared" si="19"/>
        <v>0</v>
      </c>
      <c r="G127" s="73">
        <f t="shared" si="16"/>
        <v>0</v>
      </c>
    </row>
    <row r="128" spans="1:7">
      <c r="A128" s="79">
        <v>104</v>
      </c>
      <c r="C128" s="73">
        <f t="shared" si="17"/>
        <v>0</v>
      </c>
      <c r="D128" s="73">
        <f t="shared" si="15"/>
        <v>0</v>
      </c>
      <c r="E128" s="73">
        <f t="shared" si="18"/>
        <v>0</v>
      </c>
      <c r="F128" s="73">
        <f t="shared" si="19"/>
        <v>0</v>
      </c>
      <c r="G128" s="73">
        <f t="shared" si="16"/>
        <v>0</v>
      </c>
    </row>
    <row r="129" spans="1:7">
      <c r="A129" s="79">
        <v>105</v>
      </c>
      <c r="C129" s="73">
        <f t="shared" si="17"/>
        <v>0</v>
      </c>
      <c r="D129" s="73">
        <f t="shared" si="15"/>
        <v>0</v>
      </c>
      <c r="E129" s="73">
        <f t="shared" si="18"/>
        <v>0</v>
      </c>
      <c r="F129" s="73">
        <f t="shared" si="19"/>
        <v>0</v>
      </c>
      <c r="G129" s="73">
        <f t="shared" si="16"/>
        <v>0</v>
      </c>
    </row>
    <row r="130" spans="1:7">
      <c r="A130" s="79">
        <v>106</v>
      </c>
      <c r="C130" s="73">
        <f t="shared" si="17"/>
        <v>0</v>
      </c>
      <c r="D130" s="73">
        <f t="shared" si="15"/>
        <v>0</v>
      </c>
      <c r="E130" s="73">
        <f t="shared" si="18"/>
        <v>0</v>
      </c>
      <c r="F130" s="73">
        <f t="shared" si="19"/>
        <v>0</v>
      </c>
      <c r="G130" s="73">
        <f t="shared" si="16"/>
        <v>0</v>
      </c>
    </row>
    <row r="131" spans="1:7">
      <c r="A131" s="79">
        <v>107</v>
      </c>
      <c r="C131" s="73">
        <f t="shared" si="17"/>
        <v>0</v>
      </c>
      <c r="D131" s="73">
        <f t="shared" si="15"/>
        <v>0</v>
      </c>
      <c r="E131" s="73">
        <f t="shared" si="18"/>
        <v>0</v>
      </c>
      <c r="F131" s="73">
        <f t="shared" si="19"/>
        <v>0</v>
      </c>
      <c r="G131" s="73">
        <f t="shared" si="16"/>
        <v>0</v>
      </c>
    </row>
    <row r="132" spans="1:7">
      <c r="A132" s="79">
        <v>108</v>
      </c>
      <c r="B132" s="1">
        <v>9</v>
      </c>
      <c r="C132" s="73">
        <f t="shared" si="17"/>
        <v>0</v>
      </c>
      <c r="D132" s="73">
        <f t="shared" si="15"/>
        <v>0</v>
      </c>
      <c r="E132" s="73">
        <f t="shared" si="18"/>
        <v>0</v>
      </c>
      <c r="F132" s="73">
        <f t="shared" si="19"/>
        <v>0</v>
      </c>
      <c r="G132" s="73">
        <f t="shared" si="16"/>
        <v>0</v>
      </c>
    </row>
    <row r="133" spans="1:7">
      <c r="A133" s="79">
        <v>109</v>
      </c>
      <c r="C133" s="73">
        <f t="shared" si="17"/>
        <v>0</v>
      </c>
      <c r="D133" s="73">
        <f t="shared" si="15"/>
        <v>0</v>
      </c>
      <c r="E133" s="73">
        <f t="shared" si="18"/>
        <v>0</v>
      </c>
      <c r="F133" s="73">
        <f t="shared" si="19"/>
        <v>0</v>
      </c>
      <c r="G133" s="73">
        <f t="shared" si="16"/>
        <v>0</v>
      </c>
    </row>
    <row r="134" spans="1:7">
      <c r="A134" s="79">
        <v>110</v>
      </c>
      <c r="C134" s="73">
        <f t="shared" si="17"/>
        <v>0</v>
      </c>
      <c r="D134" s="73">
        <f t="shared" si="15"/>
        <v>0</v>
      </c>
      <c r="E134" s="73">
        <f t="shared" si="18"/>
        <v>0</v>
      </c>
      <c r="F134" s="73">
        <f t="shared" si="19"/>
        <v>0</v>
      </c>
      <c r="G134" s="73">
        <f t="shared" si="16"/>
        <v>0</v>
      </c>
    </row>
    <row r="135" spans="1:7">
      <c r="A135" s="79">
        <v>111</v>
      </c>
      <c r="C135" s="73">
        <f t="shared" si="17"/>
        <v>0</v>
      </c>
      <c r="D135" s="73">
        <f t="shared" si="15"/>
        <v>0</v>
      </c>
      <c r="E135" s="73">
        <f t="shared" si="18"/>
        <v>0</v>
      </c>
      <c r="F135" s="73">
        <f t="shared" si="19"/>
        <v>0</v>
      </c>
      <c r="G135" s="73">
        <f t="shared" si="16"/>
        <v>0</v>
      </c>
    </row>
    <row r="136" spans="1:7">
      <c r="A136" s="79">
        <v>112</v>
      </c>
      <c r="C136" s="73">
        <f t="shared" si="17"/>
        <v>0</v>
      </c>
      <c r="D136" s="73">
        <f t="shared" si="15"/>
        <v>0</v>
      </c>
      <c r="E136" s="73">
        <f t="shared" si="18"/>
        <v>0</v>
      </c>
      <c r="F136" s="73">
        <f t="shared" si="19"/>
        <v>0</v>
      </c>
      <c r="G136" s="73">
        <f t="shared" si="16"/>
        <v>0</v>
      </c>
    </row>
    <row r="137" spans="1:7">
      <c r="A137" s="79">
        <v>113</v>
      </c>
      <c r="C137" s="73">
        <f t="shared" si="17"/>
        <v>0</v>
      </c>
      <c r="D137" s="73">
        <f t="shared" si="15"/>
        <v>0</v>
      </c>
      <c r="E137" s="73">
        <f t="shared" si="18"/>
        <v>0</v>
      </c>
      <c r="F137" s="73">
        <f t="shared" si="19"/>
        <v>0</v>
      </c>
      <c r="G137" s="73">
        <f t="shared" si="16"/>
        <v>0</v>
      </c>
    </row>
    <row r="138" spans="1:7">
      <c r="A138" s="79">
        <v>114</v>
      </c>
      <c r="C138" s="73">
        <f t="shared" si="17"/>
        <v>0</v>
      </c>
      <c r="D138" s="73">
        <f t="shared" si="15"/>
        <v>0</v>
      </c>
      <c r="E138" s="73">
        <f t="shared" si="18"/>
        <v>0</v>
      </c>
      <c r="F138" s="73">
        <f t="shared" si="19"/>
        <v>0</v>
      </c>
      <c r="G138" s="73">
        <f t="shared" si="16"/>
        <v>0</v>
      </c>
    </row>
    <row r="139" spans="1:7">
      <c r="A139" s="79">
        <v>115</v>
      </c>
      <c r="C139" s="73">
        <f t="shared" si="17"/>
        <v>0</v>
      </c>
      <c r="D139" s="73">
        <f t="shared" si="15"/>
        <v>0</v>
      </c>
      <c r="E139" s="73">
        <f t="shared" si="18"/>
        <v>0</v>
      </c>
      <c r="F139" s="73">
        <f t="shared" si="19"/>
        <v>0</v>
      </c>
      <c r="G139" s="73">
        <f t="shared" si="16"/>
        <v>0</v>
      </c>
    </row>
    <row r="140" spans="1:7">
      <c r="A140" s="79">
        <v>116</v>
      </c>
      <c r="C140" s="73">
        <f t="shared" si="17"/>
        <v>0</v>
      </c>
      <c r="D140" s="73">
        <f t="shared" si="15"/>
        <v>0</v>
      </c>
      <c r="E140" s="73">
        <f t="shared" si="18"/>
        <v>0</v>
      </c>
      <c r="F140" s="73">
        <f t="shared" si="19"/>
        <v>0</v>
      </c>
      <c r="G140" s="73">
        <f t="shared" si="16"/>
        <v>0</v>
      </c>
    </row>
    <row r="141" spans="1:7">
      <c r="A141" s="79">
        <v>117</v>
      </c>
      <c r="C141" s="73">
        <f t="shared" si="17"/>
        <v>0</v>
      </c>
      <c r="D141" s="73">
        <f t="shared" si="15"/>
        <v>0</v>
      </c>
      <c r="E141" s="73">
        <f t="shared" si="18"/>
        <v>0</v>
      </c>
      <c r="F141" s="73">
        <f t="shared" si="19"/>
        <v>0</v>
      </c>
      <c r="G141" s="73">
        <f t="shared" si="16"/>
        <v>0</v>
      </c>
    </row>
    <row r="142" spans="1:7">
      <c r="A142" s="79">
        <v>118</v>
      </c>
      <c r="C142" s="73">
        <f t="shared" si="17"/>
        <v>0</v>
      </c>
      <c r="D142" s="73">
        <f t="shared" si="15"/>
        <v>0</v>
      </c>
      <c r="E142" s="73">
        <f t="shared" si="18"/>
        <v>0</v>
      </c>
      <c r="F142" s="73">
        <f t="shared" si="19"/>
        <v>0</v>
      </c>
      <c r="G142" s="73">
        <f t="shared" si="16"/>
        <v>0</v>
      </c>
    </row>
    <row r="143" spans="1:7">
      <c r="A143" s="79">
        <v>119</v>
      </c>
      <c r="C143" s="73">
        <f t="shared" si="17"/>
        <v>0</v>
      </c>
      <c r="D143" s="73">
        <f t="shared" si="15"/>
        <v>0</v>
      </c>
      <c r="E143" s="73">
        <f t="shared" si="18"/>
        <v>0</v>
      </c>
      <c r="F143" s="73">
        <f t="shared" si="19"/>
        <v>0</v>
      </c>
      <c r="G143" s="73">
        <f t="shared" si="16"/>
        <v>0</v>
      </c>
    </row>
    <row r="144" spans="1:7">
      <c r="A144" s="79">
        <v>120</v>
      </c>
      <c r="B144" s="1">
        <v>10</v>
      </c>
      <c r="C144" s="73">
        <f t="shared" si="17"/>
        <v>0</v>
      </c>
      <c r="D144" s="73">
        <f t="shared" si="15"/>
        <v>0</v>
      </c>
      <c r="E144" s="73">
        <f t="shared" si="18"/>
        <v>0</v>
      </c>
      <c r="F144" s="73">
        <f t="shared" si="19"/>
        <v>0</v>
      </c>
      <c r="G144" s="73">
        <f t="shared" si="16"/>
        <v>0</v>
      </c>
    </row>
    <row r="145" spans="1:7">
      <c r="A145" s="79">
        <v>121</v>
      </c>
      <c r="C145" s="73">
        <f t="shared" si="17"/>
        <v>0</v>
      </c>
      <c r="D145" s="73">
        <f t="shared" si="15"/>
        <v>0</v>
      </c>
      <c r="E145" s="73">
        <f t="shared" si="18"/>
        <v>0</v>
      </c>
      <c r="F145" s="73">
        <f t="shared" si="19"/>
        <v>0</v>
      </c>
      <c r="G145" s="73">
        <f t="shared" si="16"/>
        <v>0</v>
      </c>
    </row>
    <row r="146" spans="1:7">
      <c r="A146" s="79">
        <v>122</v>
      </c>
      <c r="C146" s="73">
        <f t="shared" si="17"/>
        <v>0</v>
      </c>
      <c r="D146" s="73">
        <f t="shared" si="15"/>
        <v>0</v>
      </c>
      <c r="E146" s="73">
        <f t="shared" si="18"/>
        <v>0</v>
      </c>
      <c r="F146" s="73">
        <f t="shared" si="19"/>
        <v>0</v>
      </c>
      <c r="G146" s="73">
        <f t="shared" si="16"/>
        <v>0</v>
      </c>
    </row>
    <row r="147" spans="1:7">
      <c r="A147" s="79">
        <v>123</v>
      </c>
      <c r="C147" s="73">
        <f t="shared" si="17"/>
        <v>0</v>
      </c>
      <c r="D147" s="73">
        <f t="shared" si="15"/>
        <v>0</v>
      </c>
      <c r="E147" s="73">
        <f t="shared" si="18"/>
        <v>0</v>
      </c>
      <c r="F147" s="73">
        <f t="shared" si="19"/>
        <v>0</v>
      </c>
      <c r="G147" s="73">
        <f t="shared" si="16"/>
        <v>0</v>
      </c>
    </row>
    <row r="148" spans="1:7">
      <c r="A148" s="79">
        <v>124</v>
      </c>
      <c r="C148" s="73">
        <f t="shared" si="17"/>
        <v>0</v>
      </c>
      <c r="D148" s="73">
        <f t="shared" si="15"/>
        <v>0</v>
      </c>
      <c r="E148" s="73">
        <f t="shared" si="18"/>
        <v>0</v>
      </c>
      <c r="F148" s="73">
        <f t="shared" si="19"/>
        <v>0</v>
      </c>
      <c r="G148" s="73">
        <f t="shared" si="16"/>
        <v>0</v>
      </c>
    </row>
    <row r="149" spans="1:7">
      <c r="A149" s="79">
        <v>125</v>
      </c>
      <c r="C149" s="73">
        <f t="shared" si="17"/>
        <v>0</v>
      </c>
      <c r="D149" s="73">
        <f t="shared" si="15"/>
        <v>0</v>
      </c>
      <c r="E149" s="73">
        <f t="shared" si="18"/>
        <v>0</v>
      </c>
      <c r="F149" s="73">
        <f t="shared" si="19"/>
        <v>0</v>
      </c>
      <c r="G149" s="73">
        <f t="shared" si="16"/>
        <v>0</v>
      </c>
    </row>
    <row r="150" spans="1:7">
      <c r="A150" s="79">
        <v>126</v>
      </c>
      <c r="C150" s="73">
        <f t="shared" si="17"/>
        <v>0</v>
      </c>
      <c r="D150" s="73">
        <f t="shared" si="15"/>
        <v>0</v>
      </c>
      <c r="E150" s="73">
        <f t="shared" si="18"/>
        <v>0</v>
      </c>
      <c r="F150" s="73">
        <f t="shared" si="19"/>
        <v>0</v>
      </c>
      <c r="G150" s="73">
        <f t="shared" si="16"/>
        <v>0</v>
      </c>
    </row>
    <row r="151" spans="1:7">
      <c r="A151" s="79">
        <v>127</v>
      </c>
      <c r="C151" s="73">
        <f t="shared" si="17"/>
        <v>0</v>
      </c>
      <c r="D151" s="73">
        <f t="shared" si="15"/>
        <v>0</v>
      </c>
      <c r="E151" s="73">
        <f t="shared" si="18"/>
        <v>0</v>
      </c>
      <c r="F151" s="73">
        <f t="shared" si="19"/>
        <v>0</v>
      </c>
      <c r="G151" s="73">
        <f t="shared" si="16"/>
        <v>0</v>
      </c>
    </row>
    <row r="152" spans="1:7">
      <c r="A152" s="79">
        <v>128</v>
      </c>
      <c r="C152" s="73">
        <f t="shared" si="17"/>
        <v>0</v>
      </c>
      <c r="D152" s="73">
        <f t="shared" si="15"/>
        <v>0</v>
      </c>
      <c r="E152" s="73">
        <f t="shared" si="18"/>
        <v>0</v>
      </c>
      <c r="F152" s="73">
        <f t="shared" si="19"/>
        <v>0</v>
      </c>
      <c r="G152" s="73">
        <f t="shared" si="16"/>
        <v>0</v>
      </c>
    </row>
    <row r="153" spans="1:7">
      <c r="A153" s="79">
        <v>129</v>
      </c>
      <c r="C153" s="73">
        <f t="shared" si="17"/>
        <v>0</v>
      </c>
      <c r="D153" s="73">
        <f t="shared" si="15"/>
        <v>0</v>
      </c>
      <c r="E153" s="73">
        <f t="shared" si="18"/>
        <v>0</v>
      </c>
      <c r="F153" s="73">
        <f t="shared" si="19"/>
        <v>0</v>
      </c>
      <c r="G153" s="73">
        <f t="shared" si="16"/>
        <v>0</v>
      </c>
    </row>
    <row r="154" spans="1:7">
      <c r="A154" s="79">
        <v>130</v>
      </c>
      <c r="C154" s="73">
        <f t="shared" si="17"/>
        <v>0</v>
      </c>
      <c r="D154" s="73">
        <f t="shared" ref="D154:D217" si="20">IF(A154&lt;=$C$10*$C$9,$C$11,IF(C154&gt;0,C154,0))</f>
        <v>0</v>
      </c>
      <c r="E154" s="73">
        <f t="shared" si="18"/>
        <v>0</v>
      </c>
      <c r="F154" s="73">
        <f t="shared" si="19"/>
        <v>0</v>
      </c>
      <c r="G154" s="73">
        <f t="shared" ref="G154:G217" si="21">IF(AND(A154&gt;$C$9*$C$10,G153&lt;=0),0,ROUND(C154-F154,2))</f>
        <v>0</v>
      </c>
    </row>
    <row r="155" spans="1:7">
      <c r="A155" s="79">
        <v>131</v>
      </c>
      <c r="C155" s="73">
        <f t="shared" si="17"/>
        <v>0</v>
      </c>
      <c r="D155" s="73">
        <f t="shared" si="20"/>
        <v>0</v>
      </c>
      <c r="E155" s="73">
        <f t="shared" si="18"/>
        <v>0</v>
      </c>
      <c r="F155" s="73">
        <f t="shared" si="19"/>
        <v>0</v>
      </c>
      <c r="G155" s="73">
        <f t="shared" si="21"/>
        <v>0</v>
      </c>
    </row>
    <row r="156" spans="1:7">
      <c r="A156" s="79">
        <v>132</v>
      </c>
      <c r="B156" s="1">
        <v>11</v>
      </c>
      <c r="C156" s="73">
        <f t="shared" si="17"/>
        <v>0</v>
      </c>
      <c r="D156" s="73">
        <f t="shared" si="20"/>
        <v>0</v>
      </c>
      <c r="E156" s="73">
        <f t="shared" si="18"/>
        <v>0</v>
      </c>
      <c r="F156" s="73">
        <f t="shared" si="19"/>
        <v>0</v>
      </c>
      <c r="G156" s="73">
        <f t="shared" si="21"/>
        <v>0</v>
      </c>
    </row>
    <row r="157" spans="1:7">
      <c r="A157" s="79">
        <v>133</v>
      </c>
      <c r="C157" s="73">
        <f t="shared" si="17"/>
        <v>0</v>
      </c>
      <c r="D157" s="73">
        <f t="shared" si="20"/>
        <v>0</v>
      </c>
      <c r="E157" s="73">
        <f t="shared" si="18"/>
        <v>0</v>
      </c>
      <c r="F157" s="73">
        <f t="shared" si="19"/>
        <v>0</v>
      </c>
      <c r="G157" s="73">
        <f t="shared" si="21"/>
        <v>0</v>
      </c>
    </row>
    <row r="158" spans="1:7">
      <c r="A158" s="79">
        <v>134</v>
      </c>
      <c r="C158" s="73">
        <f t="shared" si="17"/>
        <v>0</v>
      </c>
      <c r="D158" s="73">
        <f t="shared" si="20"/>
        <v>0</v>
      </c>
      <c r="E158" s="73">
        <f t="shared" si="18"/>
        <v>0</v>
      </c>
      <c r="F158" s="73">
        <f t="shared" si="19"/>
        <v>0</v>
      </c>
      <c r="G158" s="73">
        <f t="shared" si="21"/>
        <v>0</v>
      </c>
    </row>
    <row r="159" spans="1:7">
      <c r="A159" s="79">
        <v>135</v>
      </c>
      <c r="C159" s="73">
        <f t="shared" si="17"/>
        <v>0</v>
      </c>
      <c r="D159" s="73">
        <f t="shared" si="20"/>
        <v>0</v>
      </c>
      <c r="E159" s="73">
        <f t="shared" si="18"/>
        <v>0</v>
      </c>
      <c r="F159" s="73">
        <f t="shared" si="19"/>
        <v>0</v>
      </c>
      <c r="G159" s="73">
        <f t="shared" si="21"/>
        <v>0</v>
      </c>
    </row>
    <row r="160" spans="1:7">
      <c r="A160" s="79">
        <v>136</v>
      </c>
      <c r="C160" s="73">
        <f t="shared" si="17"/>
        <v>0</v>
      </c>
      <c r="D160" s="73">
        <f t="shared" si="20"/>
        <v>0</v>
      </c>
      <c r="E160" s="73">
        <f t="shared" si="18"/>
        <v>0</v>
      </c>
      <c r="F160" s="73">
        <f t="shared" si="19"/>
        <v>0</v>
      </c>
      <c r="G160" s="73">
        <f t="shared" si="21"/>
        <v>0</v>
      </c>
    </row>
    <row r="161" spans="1:7">
      <c r="A161" s="79">
        <v>137</v>
      </c>
      <c r="C161" s="73">
        <f t="shared" si="17"/>
        <v>0</v>
      </c>
      <c r="D161" s="73">
        <f t="shared" si="20"/>
        <v>0</v>
      </c>
      <c r="E161" s="73">
        <f t="shared" si="18"/>
        <v>0</v>
      </c>
      <c r="F161" s="73">
        <f t="shared" si="19"/>
        <v>0</v>
      </c>
      <c r="G161" s="73">
        <f t="shared" si="21"/>
        <v>0</v>
      </c>
    </row>
    <row r="162" spans="1:7">
      <c r="A162" s="79">
        <v>138</v>
      </c>
      <c r="C162" s="73">
        <f t="shared" si="17"/>
        <v>0</v>
      </c>
      <c r="D162" s="73">
        <f t="shared" si="20"/>
        <v>0</v>
      </c>
      <c r="E162" s="73">
        <f t="shared" si="18"/>
        <v>0</v>
      </c>
      <c r="F162" s="73">
        <f t="shared" si="19"/>
        <v>0</v>
      </c>
      <c r="G162" s="73">
        <f t="shared" si="21"/>
        <v>0</v>
      </c>
    </row>
    <row r="163" spans="1:7">
      <c r="A163" s="79">
        <v>139</v>
      </c>
      <c r="C163" s="73">
        <f t="shared" si="17"/>
        <v>0</v>
      </c>
      <c r="D163" s="73">
        <f t="shared" si="20"/>
        <v>0</v>
      </c>
      <c r="E163" s="73">
        <f t="shared" si="18"/>
        <v>0</v>
      </c>
      <c r="F163" s="73">
        <f t="shared" si="19"/>
        <v>0</v>
      </c>
      <c r="G163" s="73">
        <f t="shared" si="21"/>
        <v>0</v>
      </c>
    </row>
    <row r="164" spans="1:7">
      <c r="A164" s="79">
        <v>140</v>
      </c>
      <c r="C164" s="73">
        <f t="shared" si="17"/>
        <v>0</v>
      </c>
      <c r="D164" s="73">
        <f t="shared" si="20"/>
        <v>0</v>
      </c>
      <c r="E164" s="73">
        <f t="shared" si="18"/>
        <v>0</v>
      </c>
      <c r="F164" s="73">
        <f t="shared" si="19"/>
        <v>0</v>
      </c>
      <c r="G164" s="73">
        <f t="shared" si="21"/>
        <v>0</v>
      </c>
    </row>
    <row r="165" spans="1:7">
      <c r="A165" s="79">
        <v>141</v>
      </c>
      <c r="C165" s="73">
        <f t="shared" si="17"/>
        <v>0</v>
      </c>
      <c r="D165" s="73">
        <f t="shared" si="20"/>
        <v>0</v>
      </c>
      <c r="E165" s="73">
        <f t="shared" si="18"/>
        <v>0</v>
      </c>
      <c r="F165" s="73">
        <f t="shared" si="19"/>
        <v>0</v>
      </c>
      <c r="G165" s="73">
        <f t="shared" si="21"/>
        <v>0</v>
      </c>
    </row>
    <row r="166" spans="1:7">
      <c r="A166" s="79">
        <v>142</v>
      </c>
      <c r="C166" s="73">
        <f t="shared" si="17"/>
        <v>0</v>
      </c>
      <c r="D166" s="73">
        <f t="shared" si="20"/>
        <v>0</v>
      </c>
      <c r="E166" s="73">
        <f t="shared" si="18"/>
        <v>0</v>
      </c>
      <c r="F166" s="73">
        <f t="shared" si="19"/>
        <v>0</v>
      </c>
      <c r="G166" s="73">
        <f t="shared" si="21"/>
        <v>0</v>
      </c>
    </row>
    <row r="167" spans="1:7">
      <c r="A167" s="79">
        <v>143</v>
      </c>
      <c r="C167" s="73">
        <f t="shared" si="17"/>
        <v>0</v>
      </c>
      <c r="D167" s="73">
        <f t="shared" si="20"/>
        <v>0</v>
      </c>
      <c r="E167" s="73">
        <f t="shared" si="18"/>
        <v>0</v>
      </c>
      <c r="F167" s="73">
        <f t="shared" si="19"/>
        <v>0</v>
      </c>
      <c r="G167" s="73">
        <f t="shared" si="21"/>
        <v>0</v>
      </c>
    </row>
    <row r="168" spans="1:7">
      <c r="A168" s="79">
        <v>144</v>
      </c>
      <c r="B168" s="1">
        <v>12</v>
      </c>
      <c r="C168" s="73">
        <f t="shared" si="17"/>
        <v>0</v>
      </c>
      <c r="D168" s="73">
        <f t="shared" si="20"/>
        <v>0</v>
      </c>
      <c r="E168" s="73">
        <f t="shared" si="18"/>
        <v>0</v>
      </c>
      <c r="F168" s="73">
        <f t="shared" si="19"/>
        <v>0</v>
      </c>
      <c r="G168" s="73">
        <f t="shared" si="21"/>
        <v>0</v>
      </c>
    </row>
    <row r="169" spans="1:7">
      <c r="A169" s="79">
        <v>145</v>
      </c>
      <c r="C169" s="73">
        <f t="shared" si="17"/>
        <v>0</v>
      </c>
      <c r="D169" s="73">
        <f t="shared" si="20"/>
        <v>0</v>
      </c>
      <c r="E169" s="73">
        <f t="shared" si="18"/>
        <v>0</v>
      </c>
      <c r="F169" s="73">
        <f t="shared" si="19"/>
        <v>0</v>
      </c>
      <c r="G169" s="73">
        <f t="shared" si="21"/>
        <v>0</v>
      </c>
    </row>
    <row r="170" spans="1:7">
      <c r="A170" s="79">
        <v>146</v>
      </c>
      <c r="C170" s="73">
        <f t="shared" si="17"/>
        <v>0</v>
      </c>
      <c r="D170" s="73">
        <f t="shared" si="20"/>
        <v>0</v>
      </c>
      <c r="E170" s="73">
        <f t="shared" si="18"/>
        <v>0</v>
      </c>
      <c r="F170" s="73">
        <f t="shared" si="19"/>
        <v>0</v>
      </c>
      <c r="G170" s="73">
        <f t="shared" si="21"/>
        <v>0</v>
      </c>
    </row>
    <row r="171" spans="1:7">
      <c r="A171" s="79">
        <v>147</v>
      </c>
      <c r="C171" s="73">
        <f t="shared" si="17"/>
        <v>0</v>
      </c>
      <c r="D171" s="73">
        <f t="shared" si="20"/>
        <v>0</v>
      </c>
      <c r="E171" s="73">
        <f t="shared" si="18"/>
        <v>0</v>
      </c>
      <c r="F171" s="73">
        <f t="shared" si="19"/>
        <v>0</v>
      </c>
      <c r="G171" s="73">
        <f t="shared" si="21"/>
        <v>0</v>
      </c>
    </row>
    <row r="172" spans="1:7">
      <c r="A172" s="79">
        <v>148</v>
      </c>
      <c r="C172" s="73">
        <f t="shared" si="17"/>
        <v>0</v>
      </c>
      <c r="D172" s="73">
        <f t="shared" si="20"/>
        <v>0</v>
      </c>
      <c r="E172" s="73">
        <f t="shared" si="18"/>
        <v>0</v>
      </c>
      <c r="F172" s="73">
        <f t="shared" si="19"/>
        <v>0</v>
      </c>
      <c r="G172" s="73">
        <f t="shared" si="21"/>
        <v>0</v>
      </c>
    </row>
    <row r="173" spans="1:7">
      <c r="A173" s="79">
        <v>149</v>
      </c>
      <c r="C173" s="73">
        <f t="shared" si="17"/>
        <v>0</v>
      </c>
      <c r="D173" s="73">
        <f t="shared" si="20"/>
        <v>0</v>
      </c>
      <c r="E173" s="73">
        <f t="shared" si="18"/>
        <v>0</v>
      </c>
      <c r="F173" s="73">
        <f t="shared" si="19"/>
        <v>0</v>
      </c>
      <c r="G173" s="73">
        <f t="shared" si="21"/>
        <v>0</v>
      </c>
    </row>
    <row r="174" spans="1:7">
      <c r="A174" s="79">
        <v>150</v>
      </c>
      <c r="C174" s="73">
        <f t="shared" si="17"/>
        <v>0</v>
      </c>
      <c r="D174" s="73">
        <f t="shared" si="20"/>
        <v>0</v>
      </c>
      <c r="E174" s="73">
        <f t="shared" si="18"/>
        <v>0</v>
      </c>
      <c r="F174" s="73">
        <f t="shared" si="19"/>
        <v>0</v>
      </c>
      <c r="G174" s="73">
        <f t="shared" si="21"/>
        <v>0</v>
      </c>
    </row>
    <row r="175" spans="1:7">
      <c r="A175" s="79">
        <v>151</v>
      </c>
      <c r="C175" s="73">
        <f t="shared" si="17"/>
        <v>0</v>
      </c>
      <c r="D175" s="73">
        <f t="shared" si="20"/>
        <v>0</v>
      </c>
      <c r="E175" s="73">
        <f t="shared" si="18"/>
        <v>0</v>
      </c>
      <c r="F175" s="73">
        <f t="shared" si="19"/>
        <v>0</v>
      </c>
      <c r="G175" s="73">
        <f t="shared" si="21"/>
        <v>0</v>
      </c>
    </row>
    <row r="176" spans="1:7">
      <c r="A176" s="79">
        <v>152</v>
      </c>
      <c r="C176" s="73">
        <f t="shared" si="17"/>
        <v>0</v>
      </c>
      <c r="D176" s="73">
        <f t="shared" si="20"/>
        <v>0</v>
      </c>
      <c r="E176" s="73">
        <f t="shared" si="18"/>
        <v>0</v>
      </c>
      <c r="F176" s="73">
        <f t="shared" si="19"/>
        <v>0</v>
      </c>
      <c r="G176" s="73">
        <f t="shared" si="21"/>
        <v>0</v>
      </c>
    </row>
    <row r="177" spans="1:7">
      <c r="A177" s="79">
        <v>153</v>
      </c>
      <c r="C177" s="73">
        <f t="shared" si="17"/>
        <v>0</v>
      </c>
      <c r="D177" s="73">
        <f t="shared" si="20"/>
        <v>0</v>
      </c>
      <c r="E177" s="73">
        <f t="shared" si="18"/>
        <v>0</v>
      </c>
      <c r="F177" s="73">
        <f t="shared" si="19"/>
        <v>0</v>
      </c>
      <c r="G177" s="73">
        <f t="shared" si="21"/>
        <v>0</v>
      </c>
    </row>
    <row r="178" spans="1:7">
      <c r="A178" s="79">
        <v>154</v>
      </c>
      <c r="C178" s="73">
        <f t="shared" si="17"/>
        <v>0</v>
      </c>
      <c r="D178" s="73">
        <f t="shared" si="20"/>
        <v>0</v>
      </c>
      <c r="E178" s="73">
        <f t="shared" si="18"/>
        <v>0</v>
      </c>
      <c r="F178" s="73">
        <f t="shared" si="19"/>
        <v>0</v>
      </c>
      <c r="G178" s="73">
        <f t="shared" si="21"/>
        <v>0</v>
      </c>
    </row>
    <row r="179" spans="1:7">
      <c r="A179" s="79">
        <v>155</v>
      </c>
      <c r="C179" s="73">
        <f t="shared" si="17"/>
        <v>0</v>
      </c>
      <c r="D179" s="73">
        <f t="shared" si="20"/>
        <v>0</v>
      </c>
      <c r="E179" s="73">
        <f t="shared" si="18"/>
        <v>0</v>
      </c>
      <c r="F179" s="73">
        <f t="shared" si="19"/>
        <v>0</v>
      </c>
      <c r="G179" s="73">
        <f t="shared" si="21"/>
        <v>0</v>
      </c>
    </row>
    <row r="180" spans="1:7">
      <c r="A180" s="79">
        <v>156</v>
      </c>
      <c r="B180" s="1">
        <v>13</v>
      </c>
      <c r="C180" s="73">
        <f t="shared" si="17"/>
        <v>0</v>
      </c>
      <c r="D180" s="73">
        <f t="shared" si="20"/>
        <v>0</v>
      </c>
      <c r="E180" s="73">
        <f t="shared" si="18"/>
        <v>0</v>
      </c>
      <c r="F180" s="73">
        <f t="shared" si="19"/>
        <v>0</v>
      </c>
      <c r="G180" s="73">
        <f t="shared" si="21"/>
        <v>0</v>
      </c>
    </row>
    <row r="181" spans="1:7">
      <c r="A181" s="79">
        <v>157</v>
      </c>
      <c r="C181" s="73">
        <f t="shared" si="17"/>
        <v>0</v>
      </c>
      <c r="D181" s="73">
        <f t="shared" si="20"/>
        <v>0</v>
      </c>
      <c r="E181" s="73">
        <f t="shared" si="18"/>
        <v>0</v>
      </c>
      <c r="F181" s="73">
        <f t="shared" si="19"/>
        <v>0</v>
      </c>
      <c r="G181" s="73">
        <f t="shared" si="21"/>
        <v>0</v>
      </c>
    </row>
    <row r="182" spans="1:7">
      <c r="A182" s="79">
        <v>158</v>
      </c>
      <c r="C182" s="73">
        <f t="shared" si="17"/>
        <v>0</v>
      </c>
      <c r="D182" s="73">
        <f t="shared" si="20"/>
        <v>0</v>
      </c>
      <c r="E182" s="73">
        <f t="shared" si="18"/>
        <v>0</v>
      </c>
      <c r="F182" s="73">
        <f t="shared" si="19"/>
        <v>0</v>
      </c>
      <c r="G182" s="73">
        <f t="shared" si="21"/>
        <v>0</v>
      </c>
    </row>
    <row r="183" spans="1:7">
      <c r="A183" s="79">
        <v>159</v>
      </c>
      <c r="C183" s="73">
        <f t="shared" si="17"/>
        <v>0</v>
      </c>
      <c r="D183" s="73">
        <f t="shared" si="20"/>
        <v>0</v>
      </c>
      <c r="E183" s="73">
        <f t="shared" si="18"/>
        <v>0</v>
      </c>
      <c r="F183" s="73">
        <f t="shared" si="19"/>
        <v>0</v>
      </c>
      <c r="G183" s="73">
        <f t="shared" si="21"/>
        <v>0</v>
      </c>
    </row>
    <row r="184" spans="1:7">
      <c r="A184" s="79">
        <v>160</v>
      </c>
      <c r="C184" s="73">
        <f t="shared" si="17"/>
        <v>0</v>
      </c>
      <c r="D184" s="73">
        <f t="shared" si="20"/>
        <v>0</v>
      </c>
      <c r="E184" s="73">
        <f t="shared" si="18"/>
        <v>0</v>
      </c>
      <c r="F184" s="73">
        <f t="shared" si="19"/>
        <v>0</v>
      </c>
      <c r="G184" s="73">
        <f t="shared" si="21"/>
        <v>0</v>
      </c>
    </row>
    <row r="185" spans="1:7">
      <c r="A185" s="79">
        <v>161</v>
      </c>
      <c r="C185" s="73">
        <f t="shared" ref="C185:C248" si="22">IF(G184&gt;0,+G184,0)</f>
        <v>0</v>
      </c>
      <c r="D185" s="73">
        <f t="shared" si="20"/>
        <v>0</v>
      </c>
      <c r="E185" s="73">
        <f t="shared" ref="E185:E248" si="23">IF(D185&gt;0,+C185*$C$8/$C$10,0)</f>
        <v>0</v>
      </c>
      <c r="F185" s="73">
        <f t="shared" ref="F185:F248" si="24">IF(D185&gt;0,+D185-E185,0)</f>
        <v>0</v>
      </c>
      <c r="G185" s="73">
        <f t="shared" si="21"/>
        <v>0</v>
      </c>
    </row>
    <row r="186" spans="1:7">
      <c r="A186" s="79">
        <v>162</v>
      </c>
      <c r="C186" s="73">
        <f t="shared" si="22"/>
        <v>0</v>
      </c>
      <c r="D186" s="73">
        <f t="shared" si="20"/>
        <v>0</v>
      </c>
      <c r="E186" s="73">
        <f t="shared" si="23"/>
        <v>0</v>
      </c>
      <c r="F186" s="73">
        <f t="shared" si="24"/>
        <v>0</v>
      </c>
      <c r="G186" s="73">
        <f t="shared" si="21"/>
        <v>0</v>
      </c>
    </row>
    <row r="187" spans="1:7">
      <c r="A187" s="79">
        <v>163</v>
      </c>
      <c r="C187" s="73">
        <f t="shared" si="22"/>
        <v>0</v>
      </c>
      <c r="D187" s="73">
        <f t="shared" si="20"/>
        <v>0</v>
      </c>
      <c r="E187" s="73">
        <f t="shared" si="23"/>
        <v>0</v>
      </c>
      <c r="F187" s="73">
        <f t="shared" si="24"/>
        <v>0</v>
      </c>
      <c r="G187" s="73">
        <f t="shared" si="21"/>
        <v>0</v>
      </c>
    </row>
    <row r="188" spans="1:7">
      <c r="A188" s="79">
        <v>164</v>
      </c>
      <c r="C188" s="73">
        <f t="shared" si="22"/>
        <v>0</v>
      </c>
      <c r="D188" s="73">
        <f t="shared" si="20"/>
        <v>0</v>
      </c>
      <c r="E188" s="73">
        <f t="shared" si="23"/>
        <v>0</v>
      </c>
      <c r="F188" s="73">
        <f t="shared" si="24"/>
        <v>0</v>
      </c>
      <c r="G188" s="73">
        <f t="shared" si="21"/>
        <v>0</v>
      </c>
    </row>
    <row r="189" spans="1:7">
      <c r="A189" s="79">
        <v>165</v>
      </c>
      <c r="C189" s="73">
        <f t="shared" si="22"/>
        <v>0</v>
      </c>
      <c r="D189" s="73">
        <f t="shared" si="20"/>
        <v>0</v>
      </c>
      <c r="E189" s="73">
        <f t="shared" si="23"/>
        <v>0</v>
      </c>
      <c r="F189" s="73">
        <f t="shared" si="24"/>
        <v>0</v>
      </c>
      <c r="G189" s="73">
        <f t="shared" si="21"/>
        <v>0</v>
      </c>
    </row>
    <row r="190" spans="1:7">
      <c r="A190" s="79">
        <v>166</v>
      </c>
      <c r="C190" s="73">
        <f t="shared" si="22"/>
        <v>0</v>
      </c>
      <c r="D190" s="73">
        <f t="shared" si="20"/>
        <v>0</v>
      </c>
      <c r="E190" s="73">
        <f t="shared" si="23"/>
        <v>0</v>
      </c>
      <c r="F190" s="73">
        <f t="shared" si="24"/>
        <v>0</v>
      </c>
      <c r="G190" s="73">
        <f t="shared" si="21"/>
        <v>0</v>
      </c>
    </row>
    <row r="191" spans="1:7">
      <c r="A191" s="79">
        <v>167</v>
      </c>
      <c r="C191" s="73">
        <f t="shared" si="22"/>
        <v>0</v>
      </c>
      <c r="D191" s="73">
        <f t="shared" si="20"/>
        <v>0</v>
      </c>
      <c r="E191" s="73">
        <f t="shared" si="23"/>
        <v>0</v>
      </c>
      <c r="F191" s="73">
        <f t="shared" si="24"/>
        <v>0</v>
      </c>
      <c r="G191" s="73">
        <f t="shared" si="21"/>
        <v>0</v>
      </c>
    </row>
    <row r="192" spans="1:7">
      <c r="A192" s="79">
        <v>168</v>
      </c>
      <c r="B192" s="1">
        <v>14</v>
      </c>
      <c r="C192" s="73">
        <f t="shared" si="22"/>
        <v>0</v>
      </c>
      <c r="D192" s="73">
        <f t="shared" si="20"/>
        <v>0</v>
      </c>
      <c r="E192" s="73">
        <f t="shared" si="23"/>
        <v>0</v>
      </c>
      <c r="F192" s="73">
        <f t="shared" si="24"/>
        <v>0</v>
      </c>
      <c r="G192" s="73">
        <f t="shared" si="21"/>
        <v>0</v>
      </c>
    </row>
    <row r="193" spans="1:7">
      <c r="A193" s="79">
        <v>169</v>
      </c>
      <c r="C193" s="73">
        <f t="shared" si="22"/>
        <v>0</v>
      </c>
      <c r="D193" s="73">
        <f t="shared" si="20"/>
        <v>0</v>
      </c>
      <c r="E193" s="73">
        <f t="shared" si="23"/>
        <v>0</v>
      </c>
      <c r="F193" s="73">
        <f t="shared" si="24"/>
        <v>0</v>
      </c>
      <c r="G193" s="73">
        <f t="shared" si="21"/>
        <v>0</v>
      </c>
    </row>
    <row r="194" spans="1:7">
      <c r="A194" s="79">
        <v>170</v>
      </c>
      <c r="C194" s="73">
        <f t="shared" si="22"/>
        <v>0</v>
      </c>
      <c r="D194" s="73">
        <f t="shared" si="20"/>
        <v>0</v>
      </c>
      <c r="E194" s="73">
        <f t="shared" si="23"/>
        <v>0</v>
      </c>
      <c r="F194" s="73">
        <f t="shared" si="24"/>
        <v>0</v>
      </c>
      <c r="G194" s="73">
        <f t="shared" si="21"/>
        <v>0</v>
      </c>
    </row>
    <row r="195" spans="1:7">
      <c r="A195" s="79">
        <v>171</v>
      </c>
      <c r="C195" s="73">
        <f t="shared" si="22"/>
        <v>0</v>
      </c>
      <c r="D195" s="73">
        <f t="shared" si="20"/>
        <v>0</v>
      </c>
      <c r="E195" s="73">
        <f t="shared" si="23"/>
        <v>0</v>
      </c>
      <c r="F195" s="73">
        <f t="shared" si="24"/>
        <v>0</v>
      </c>
      <c r="G195" s="73">
        <f t="shared" si="21"/>
        <v>0</v>
      </c>
    </row>
    <row r="196" spans="1:7">
      <c r="A196" s="79">
        <v>172</v>
      </c>
      <c r="C196" s="73">
        <f t="shared" si="22"/>
        <v>0</v>
      </c>
      <c r="D196" s="73">
        <f t="shared" si="20"/>
        <v>0</v>
      </c>
      <c r="E196" s="73">
        <f t="shared" si="23"/>
        <v>0</v>
      </c>
      <c r="F196" s="73">
        <f t="shared" si="24"/>
        <v>0</v>
      </c>
      <c r="G196" s="73">
        <f t="shared" si="21"/>
        <v>0</v>
      </c>
    </row>
    <row r="197" spans="1:7">
      <c r="A197" s="79">
        <v>173</v>
      </c>
      <c r="C197" s="73">
        <f t="shared" si="22"/>
        <v>0</v>
      </c>
      <c r="D197" s="73">
        <f t="shared" si="20"/>
        <v>0</v>
      </c>
      <c r="E197" s="73">
        <f t="shared" si="23"/>
        <v>0</v>
      </c>
      <c r="F197" s="73">
        <f t="shared" si="24"/>
        <v>0</v>
      </c>
      <c r="G197" s="73">
        <f t="shared" si="21"/>
        <v>0</v>
      </c>
    </row>
    <row r="198" spans="1:7">
      <c r="A198" s="79">
        <v>174</v>
      </c>
      <c r="C198" s="73">
        <f t="shared" si="22"/>
        <v>0</v>
      </c>
      <c r="D198" s="73">
        <f t="shared" si="20"/>
        <v>0</v>
      </c>
      <c r="E198" s="73">
        <f t="shared" si="23"/>
        <v>0</v>
      </c>
      <c r="F198" s="73">
        <f t="shared" si="24"/>
        <v>0</v>
      </c>
      <c r="G198" s="73">
        <f t="shared" si="21"/>
        <v>0</v>
      </c>
    </row>
    <row r="199" spans="1:7">
      <c r="A199" s="79">
        <v>175</v>
      </c>
      <c r="C199" s="73">
        <f t="shared" si="22"/>
        <v>0</v>
      </c>
      <c r="D199" s="73">
        <f t="shared" si="20"/>
        <v>0</v>
      </c>
      <c r="E199" s="73">
        <f t="shared" si="23"/>
        <v>0</v>
      </c>
      <c r="F199" s="73">
        <f t="shared" si="24"/>
        <v>0</v>
      </c>
      <c r="G199" s="73">
        <f t="shared" si="21"/>
        <v>0</v>
      </c>
    </row>
    <row r="200" spans="1:7">
      <c r="A200" s="79">
        <v>176</v>
      </c>
      <c r="C200" s="73">
        <f t="shared" si="22"/>
        <v>0</v>
      </c>
      <c r="D200" s="73">
        <f t="shared" si="20"/>
        <v>0</v>
      </c>
      <c r="E200" s="73">
        <f t="shared" si="23"/>
        <v>0</v>
      </c>
      <c r="F200" s="73">
        <f t="shared" si="24"/>
        <v>0</v>
      </c>
      <c r="G200" s="73">
        <f t="shared" si="21"/>
        <v>0</v>
      </c>
    </row>
    <row r="201" spans="1:7">
      <c r="A201" s="79">
        <v>177</v>
      </c>
      <c r="C201" s="73">
        <f t="shared" si="22"/>
        <v>0</v>
      </c>
      <c r="D201" s="73">
        <f t="shared" si="20"/>
        <v>0</v>
      </c>
      <c r="E201" s="73">
        <f t="shared" si="23"/>
        <v>0</v>
      </c>
      <c r="F201" s="73">
        <f t="shared" si="24"/>
        <v>0</v>
      </c>
      <c r="G201" s="73">
        <f t="shared" si="21"/>
        <v>0</v>
      </c>
    </row>
    <row r="202" spans="1:7">
      <c r="A202" s="79">
        <v>178</v>
      </c>
      <c r="C202" s="73">
        <f t="shared" si="22"/>
        <v>0</v>
      </c>
      <c r="D202" s="73">
        <f t="shared" si="20"/>
        <v>0</v>
      </c>
      <c r="E202" s="73">
        <f t="shared" si="23"/>
        <v>0</v>
      </c>
      <c r="F202" s="73">
        <f t="shared" si="24"/>
        <v>0</v>
      </c>
      <c r="G202" s="73">
        <f t="shared" si="21"/>
        <v>0</v>
      </c>
    </row>
    <row r="203" spans="1:7">
      <c r="A203" s="79">
        <v>179</v>
      </c>
      <c r="C203" s="73">
        <f t="shared" si="22"/>
        <v>0</v>
      </c>
      <c r="D203" s="73">
        <f t="shared" si="20"/>
        <v>0</v>
      </c>
      <c r="E203" s="73">
        <f t="shared" si="23"/>
        <v>0</v>
      </c>
      <c r="F203" s="73">
        <f t="shared" si="24"/>
        <v>0</v>
      </c>
      <c r="G203" s="73">
        <f t="shared" si="21"/>
        <v>0</v>
      </c>
    </row>
    <row r="204" spans="1:7">
      <c r="A204" s="79">
        <v>180</v>
      </c>
      <c r="B204" s="1">
        <v>15</v>
      </c>
      <c r="C204" s="73">
        <f t="shared" si="22"/>
        <v>0</v>
      </c>
      <c r="D204" s="73">
        <f t="shared" si="20"/>
        <v>0</v>
      </c>
      <c r="E204" s="73">
        <f t="shared" si="23"/>
        <v>0</v>
      </c>
      <c r="F204" s="73">
        <f t="shared" si="24"/>
        <v>0</v>
      </c>
      <c r="G204" s="73">
        <f t="shared" si="21"/>
        <v>0</v>
      </c>
    </row>
    <row r="205" spans="1:7">
      <c r="A205" s="79">
        <v>181</v>
      </c>
      <c r="C205" s="73">
        <f t="shared" si="22"/>
        <v>0</v>
      </c>
      <c r="D205" s="73">
        <f t="shared" si="20"/>
        <v>0</v>
      </c>
      <c r="E205" s="73">
        <f t="shared" si="23"/>
        <v>0</v>
      </c>
      <c r="F205" s="73">
        <f t="shared" si="24"/>
        <v>0</v>
      </c>
      <c r="G205" s="73">
        <f t="shared" si="21"/>
        <v>0</v>
      </c>
    </row>
    <row r="206" spans="1:7">
      <c r="A206" s="79">
        <v>182</v>
      </c>
      <c r="C206" s="73">
        <f t="shared" si="22"/>
        <v>0</v>
      </c>
      <c r="D206" s="73">
        <f t="shared" si="20"/>
        <v>0</v>
      </c>
      <c r="E206" s="73">
        <f t="shared" si="23"/>
        <v>0</v>
      </c>
      <c r="F206" s="73">
        <f t="shared" si="24"/>
        <v>0</v>
      </c>
      <c r="G206" s="73">
        <f t="shared" si="21"/>
        <v>0</v>
      </c>
    </row>
    <row r="207" spans="1:7">
      <c r="A207" s="79">
        <v>183</v>
      </c>
      <c r="C207" s="73">
        <f t="shared" si="22"/>
        <v>0</v>
      </c>
      <c r="D207" s="73">
        <f t="shared" si="20"/>
        <v>0</v>
      </c>
      <c r="E207" s="73">
        <f t="shared" si="23"/>
        <v>0</v>
      </c>
      <c r="F207" s="73">
        <f t="shared" si="24"/>
        <v>0</v>
      </c>
      <c r="G207" s="73">
        <f t="shared" si="21"/>
        <v>0</v>
      </c>
    </row>
    <row r="208" spans="1:7">
      <c r="A208" s="79">
        <v>184</v>
      </c>
      <c r="C208" s="73">
        <f t="shared" si="22"/>
        <v>0</v>
      </c>
      <c r="D208" s="73">
        <f t="shared" si="20"/>
        <v>0</v>
      </c>
      <c r="E208" s="73">
        <f t="shared" si="23"/>
        <v>0</v>
      </c>
      <c r="F208" s="73">
        <f t="shared" si="24"/>
        <v>0</v>
      </c>
      <c r="G208" s="73">
        <f t="shared" si="21"/>
        <v>0</v>
      </c>
    </row>
    <row r="209" spans="1:7">
      <c r="A209" s="79">
        <v>185</v>
      </c>
      <c r="C209" s="73">
        <f t="shared" si="22"/>
        <v>0</v>
      </c>
      <c r="D209" s="73">
        <f t="shared" si="20"/>
        <v>0</v>
      </c>
      <c r="E209" s="73">
        <f t="shared" si="23"/>
        <v>0</v>
      </c>
      <c r="F209" s="73">
        <f t="shared" si="24"/>
        <v>0</v>
      </c>
      <c r="G209" s="73">
        <f t="shared" si="21"/>
        <v>0</v>
      </c>
    </row>
    <row r="210" spans="1:7">
      <c r="A210" s="79">
        <v>186</v>
      </c>
      <c r="C210" s="73">
        <f t="shared" si="22"/>
        <v>0</v>
      </c>
      <c r="D210" s="73">
        <f t="shared" si="20"/>
        <v>0</v>
      </c>
      <c r="E210" s="73">
        <f t="shared" si="23"/>
        <v>0</v>
      </c>
      <c r="F210" s="73">
        <f t="shared" si="24"/>
        <v>0</v>
      </c>
      <c r="G210" s="73">
        <f t="shared" si="21"/>
        <v>0</v>
      </c>
    </row>
    <row r="211" spans="1:7">
      <c r="A211" s="79">
        <v>187</v>
      </c>
      <c r="C211" s="73">
        <f t="shared" si="22"/>
        <v>0</v>
      </c>
      <c r="D211" s="73">
        <f t="shared" si="20"/>
        <v>0</v>
      </c>
      <c r="E211" s="73">
        <f t="shared" si="23"/>
        <v>0</v>
      </c>
      <c r="F211" s="73">
        <f t="shared" si="24"/>
        <v>0</v>
      </c>
      <c r="G211" s="73">
        <f t="shared" si="21"/>
        <v>0</v>
      </c>
    </row>
    <row r="212" spans="1:7">
      <c r="A212" s="79">
        <v>188</v>
      </c>
      <c r="C212" s="73">
        <f t="shared" si="22"/>
        <v>0</v>
      </c>
      <c r="D212" s="73">
        <f t="shared" si="20"/>
        <v>0</v>
      </c>
      <c r="E212" s="73">
        <f t="shared" si="23"/>
        <v>0</v>
      </c>
      <c r="F212" s="73">
        <f t="shared" si="24"/>
        <v>0</v>
      </c>
      <c r="G212" s="73">
        <f t="shared" si="21"/>
        <v>0</v>
      </c>
    </row>
    <row r="213" spans="1:7">
      <c r="A213" s="79">
        <v>189</v>
      </c>
      <c r="C213" s="73">
        <f t="shared" si="22"/>
        <v>0</v>
      </c>
      <c r="D213" s="73">
        <f t="shared" si="20"/>
        <v>0</v>
      </c>
      <c r="E213" s="73">
        <f t="shared" si="23"/>
        <v>0</v>
      </c>
      <c r="F213" s="73">
        <f t="shared" si="24"/>
        <v>0</v>
      </c>
      <c r="G213" s="73">
        <f t="shared" si="21"/>
        <v>0</v>
      </c>
    </row>
    <row r="214" spans="1:7">
      <c r="A214" s="79">
        <v>190</v>
      </c>
      <c r="C214" s="73">
        <f t="shared" si="22"/>
        <v>0</v>
      </c>
      <c r="D214" s="73">
        <f t="shared" si="20"/>
        <v>0</v>
      </c>
      <c r="E214" s="73">
        <f t="shared" si="23"/>
        <v>0</v>
      </c>
      <c r="F214" s="73">
        <f t="shared" si="24"/>
        <v>0</v>
      </c>
      <c r="G214" s="73">
        <f t="shared" si="21"/>
        <v>0</v>
      </c>
    </row>
    <row r="215" spans="1:7">
      <c r="A215" s="79">
        <v>191</v>
      </c>
      <c r="C215" s="73">
        <f t="shared" si="22"/>
        <v>0</v>
      </c>
      <c r="D215" s="73">
        <f t="shared" si="20"/>
        <v>0</v>
      </c>
      <c r="E215" s="73">
        <f t="shared" si="23"/>
        <v>0</v>
      </c>
      <c r="F215" s="73">
        <f t="shared" si="24"/>
        <v>0</v>
      </c>
      <c r="G215" s="73">
        <f t="shared" si="21"/>
        <v>0</v>
      </c>
    </row>
    <row r="216" spans="1:7">
      <c r="A216" s="79">
        <v>192</v>
      </c>
      <c r="B216" s="1">
        <v>16</v>
      </c>
      <c r="C216" s="73">
        <f t="shared" si="22"/>
        <v>0</v>
      </c>
      <c r="D216" s="73">
        <f t="shared" si="20"/>
        <v>0</v>
      </c>
      <c r="E216" s="73">
        <f t="shared" si="23"/>
        <v>0</v>
      </c>
      <c r="F216" s="73">
        <f t="shared" si="24"/>
        <v>0</v>
      </c>
      <c r="G216" s="73">
        <f t="shared" si="21"/>
        <v>0</v>
      </c>
    </row>
    <row r="217" spans="1:7">
      <c r="A217" s="79">
        <v>193</v>
      </c>
      <c r="C217" s="73">
        <f t="shared" si="22"/>
        <v>0</v>
      </c>
      <c r="D217" s="73">
        <f t="shared" si="20"/>
        <v>0</v>
      </c>
      <c r="E217" s="73">
        <f t="shared" si="23"/>
        <v>0</v>
      </c>
      <c r="F217" s="73">
        <f t="shared" si="24"/>
        <v>0</v>
      </c>
      <c r="G217" s="73">
        <f t="shared" si="21"/>
        <v>0</v>
      </c>
    </row>
    <row r="218" spans="1:7">
      <c r="A218" s="79">
        <v>194</v>
      </c>
      <c r="C218" s="73">
        <f t="shared" si="22"/>
        <v>0</v>
      </c>
      <c r="D218" s="73">
        <f t="shared" ref="D218:D281" si="25">IF(A218&lt;=$C$10*$C$9,$C$11,IF(C218&gt;0,C218,0))</f>
        <v>0</v>
      </c>
      <c r="E218" s="73">
        <f t="shared" si="23"/>
        <v>0</v>
      </c>
      <c r="F218" s="73">
        <f t="shared" si="24"/>
        <v>0</v>
      </c>
      <c r="G218" s="73">
        <f t="shared" ref="G218:G281" si="26">IF(AND(A218&gt;$C$9*$C$10,G217&lt;=0),0,ROUND(C218-F218,2))</f>
        <v>0</v>
      </c>
    </row>
    <row r="219" spans="1:7">
      <c r="A219" s="79">
        <v>195</v>
      </c>
      <c r="C219" s="73">
        <f t="shared" si="22"/>
        <v>0</v>
      </c>
      <c r="D219" s="73">
        <f t="shared" si="25"/>
        <v>0</v>
      </c>
      <c r="E219" s="73">
        <f t="shared" si="23"/>
        <v>0</v>
      </c>
      <c r="F219" s="73">
        <f t="shared" si="24"/>
        <v>0</v>
      </c>
      <c r="G219" s="73">
        <f t="shared" si="26"/>
        <v>0</v>
      </c>
    </row>
    <row r="220" spans="1:7">
      <c r="A220" s="79">
        <v>196</v>
      </c>
      <c r="C220" s="73">
        <f t="shared" si="22"/>
        <v>0</v>
      </c>
      <c r="D220" s="73">
        <f t="shared" si="25"/>
        <v>0</v>
      </c>
      <c r="E220" s="73">
        <f t="shared" si="23"/>
        <v>0</v>
      </c>
      <c r="F220" s="73">
        <f t="shared" si="24"/>
        <v>0</v>
      </c>
      <c r="G220" s="73">
        <f t="shared" si="26"/>
        <v>0</v>
      </c>
    </row>
    <row r="221" spans="1:7">
      <c r="A221" s="79">
        <v>197</v>
      </c>
      <c r="C221" s="73">
        <f t="shared" si="22"/>
        <v>0</v>
      </c>
      <c r="D221" s="73">
        <f t="shared" si="25"/>
        <v>0</v>
      </c>
      <c r="E221" s="73">
        <f t="shared" si="23"/>
        <v>0</v>
      </c>
      <c r="F221" s="73">
        <f t="shared" si="24"/>
        <v>0</v>
      </c>
      <c r="G221" s="73">
        <f t="shared" si="26"/>
        <v>0</v>
      </c>
    </row>
    <row r="222" spans="1:7">
      <c r="A222" s="79">
        <v>198</v>
      </c>
      <c r="C222" s="73">
        <f t="shared" si="22"/>
        <v>0</v>
      </c>
      <c r="D222" s="73">
        <f t="shared" si="25"/>
        <v>0</v>
      </c>
      <c r="E222" s="73">
        <f t="shared" si="23"/>
        <v>0</v>
      </c>
      <c r="F222" s="73">
        <f t="shared" si="24"/>
        <v>0</v>
      </c>
      <c r="G222" s="73">
        <f t="shared" si="26"/>
        <v>0</v>
      </c>
    </row>
    <row r="223" spans="1:7">
      <c r="A223" s="79">
        <v>199</v>
      </c>
      <c r="C223" s="73">
        <f t="shared" si="22"/>
        <v>0</v>
      </c>
      <c r="D223" s="73">
        <f t="shared" si="25"/>
        <v>0</v>
      </c>
      <c r="E223" s="73">
        <f t="shared" si="23"/>
        <v>0</v>
      </c>
      <c r="F223" s="73">
        <f t="shared" si="24"/>
        <v>0</v>
      </c>
      <c r="G223" s="73">
        <f t="shared" si="26"/>
        <v>0</v>
      </c>
    </row>
    <row r="224" spans="1:7">
      <c r="A224" s="79">
        <v>200</v>
      </c>
      <c r="C224" s="73">
        <f t="shared" si="22"/>
        <v>0</v>
      </c>
      <c r="D224" s="73">
        <f t="shared" si="25"/>
        <v>0</v>
      </c>
      <c r="E224" s="73">
        <f t="shared" si="23"/>
        <v>0</v>
      </c>
      <c r="F224" s="73">
        <f t="shared" si="24"/>
        <v>0</v>
      </c>
      <c r="G224" s="73">
        <f t="shared" si="26"/>
        <v>0</v>
      </c>
    </row>
    <row r="225" spans="1:7">
      <c r="A225" s="79">
        <v>201</v>
      </c>
      <c r="C225" s="73">
        <f t="shared" si="22"/>
        <v>0</v>
      </c>
      <c r="D225" s="73">
        <f t="shared" si="25"/>
        <v>0</v>
      </c>
      <c r="E225" s="73">
        <f t="shared" si="23"/>
        <v>0</v>
      </c>
      <c r="F225" s="73">
        <f t="shared" si="24"/>
        <v>0</v>
      </c>
      <c r="G225" s="73">
        <f t="shared" si="26"/>
        <v>0</v>
      </c>
    </row>
    <row r="226" spans="1:7">
      <c r="A226" s="79">
        <v>202</v>
      </c>
      <c r="C226" s="73">
        <f t="shared" si="22"/>
        <v>0</v>
      </c>
      <c r="D226" s="73">
        <f t="shared" si="25"/>
        <v>0</v>
      </c>
      <c r="E226" s="73">
        <f t="shared" si="23"/>
        <v>0</v>
      </c>
      <c r="F226" s="73">
        <f t="shared" si="24"/>
        <v>0</v>
      </c>
      <c r="G226" s="73">
        <f t="shared" si="26"/>
        <v>0</v>
      </c>
    </row>
    <row r="227" spans="1:7">
      <c r="A227" s="79">
        <v>203</v>
      </c>
      <c r="C227" s="73">
        <f t="shared" si="22"/>
        <v>0</v>
      </c>
      <c r="D227" s="73">
        <f t="shared" si="25"/>
        <v>0</v>
      </c>
      <c r="E227" s="73">
        <f t="shared" si="23"/>
        <v>0</v>
      </c>
      <c r="F227" s="73">
        <f t="shared" si="24"/>
        <v>0</v>
      </c>
      <c r="G227" s="73">
        <f t="shared" si="26"/>
        <v>0</v>
      </c>
    </row>
    <row r="228" spans="1:7">
      <c r="A228" s="79">
        <v>204</v>
      </c>
      <c r="B228" s="1">
        <v>17</v>
      </c>
      <c r="C228" s="73">
        <f t="shared" si="22"/>
        <v>0</v>
      </c>
      <c r="D228" s="73">
        <f t="shared" si="25"/>
        <v>0</v>
      </c>
      <c r="E228" s="73">
        <f t="shared" si="23"/>
        <v>0</v>
      </c>
      <c r="F228" s="73">
        <f t="shared" si="24"/>
        <v>0</v>
      </c>
      <c r="G228" s="73">
        <f t="shared" si="26"/>
        <v>0</v>
      </c>
    </row>
    <row r="229" spans="1:7">
      <c r="A229" s="79">
        <v>205</v>
      </c>
      <c r="C229" s="73">
        <f t="shared" si="22"/>
        <v>0</v>
      </c>
      <c r="D229" s="73">
        <f t="shared" si="25"/>
        <v>0</v>
      </c>
      <c r="E229" s="73">
        <f t="shared" si="23"/>
        <v>0</v>
      </c>
      <c r="F229" s="73">
        <f t="shared" si="24"/>
        <v>0</v>
      </c>
      <c r="G229" s="73">
        <f t="shared" si="26"/>
        <v>0</v>
      </c>
    </row>
    <row r="230" spans="1:7">
      <c r="A230" s="79">
        <v>206</v>
      </c>
      <c r="C230" s="73">
        <f t="shared" si="22"/>
        <v>0</v>
      </c>
      <c r="D230" s="73">
        <f t="shared" si="25"/>
        <v>0</v>
      </c>
      <c r="E230" s="73">
        <f t="shared" si="23"/>
        <v>0</v>
      </c>
      <c r="F230" s="73">
        <f t="shared" si="24"/>
        <v>0</v>
      </c>
      <c r="G230" s="73">
        <f t="shared" si="26"/>
        <v>0</v>
      </c>
    </row>
    <row r="231" spans="1:7">
      <c r="A231" s="79">
        <v>207</v>
      </c>
      <c r="C231" s="73">
        <f t="shared" si="22"/>
        <v>0</v>
      </c>
      <c r="D231" s="73">
        <f t="shared" si="25"/>
        <v>0</v>
      </c>
      <c r="E231" s="73">
        <f t="shared" si="23"/>
        <v>0</v>
      </c>
      <c r="F231" s="73">
        <f t="shared" si="24"/>
        <v>0</v>
      </c>
      <c r="G231" s="73">
        <f t="shared" si="26"/>
        <v>0</v>
      </c>
    </row>
    <row r="232" spans="1:7">
      <c r="A232" s="79">
        <v>208</v>
      </c>
      <c r="C232" s="73">
        <f t="shared" si="22"/>
        <v>0</v>
      </c>
      <c r="D232" s="73">
        <f t="shared" si="25"/>
        <v>0</v>
      </c>
      <c r="E232" s="73">
        <f t="shared" si="23"/>
        <v>0</v>
      </c>
      <c r="F232" s="73">
        <f t="shared" si="24"/>
        <v>0</v>
      </c>
      <c r="G232" s="73">
        <f t="shared" si="26"/>
        <v>0</v>
      </c>
    </row>
    <row r="233" spans="1:7">
      <c r="A233" s="79">
        <v>209</v>
      </c>
      <c r="C233" s="73">
        <f t="shared" si="22"/>
        <v>0</v>
      </c>
      <c r="D233" s="73">
        <f t="shared" si="25"/>
        <v>0</v>
      </c>
      <c r="E233" s="73">
        <f t="shared" si="23"/>
        <v>0</v>
      </c>
      <c r="F233" s="73">
        <f t="shared" si="24"/>
        <v>0</v>
      </c>
      <c r="G233" s="73">
        <f t="shared" si="26"/>
        <v>0</v>
      </c>
    </row>
    <row r="234" spans="1:7">
      <c r="A234" s="79">
        <v>210</v>
      </c>
      <c r="C234" s="73">
        <f t="shared" si="22"/>
        <v>0</v>
      </c>
      <c r="D234" s="73">
        <f t="shared" si="25"/>
        <v>0</v>
      </c>
      <c r="E234" s="73">
        <f t="shared" si="23"/>
        <v>0</v>
      </c>
      <c r="F234" s="73">
        <f t="shared" si="24"/>
        <v>0</v>
      </c>
      <c r="G234" s="73">
        <f t="shared" si="26"/>
        <v>0</v>
      </c>
    </row>
    <row r="235" spans="1:7">
      <c r="A235" s="79">
        <v>211</v>
      </c>
      <c r="C235" s="73">
        <f t="shared" si="22"/>
        <v>0</v>
      </c>
      <c r="D235" s="73">
        <f t="shared" si="25"/>
        <v>0</v>
      </c>
      <c r="E235" s="73">
        <f t="shared" si="23"/>
        <v>0</v>
      </c>
      <c r="F235" s="73">
        <f t="shared" si="24"/>
        <v>0</v>
      </c>
      <c r="G235" s="73">
        <f t="shared" si="26"/>
        <v>0</v>
      </c>
    </row>
    <row r="236" spans="1:7">
      <c r="A236" s="79">
        <v>212</v>
      </c>
      <c r="C236" s="73">
        <f t="shared" si="22"/>
        <v>0</v>
      </c>
      <c r="D236" s="73">
        <f t="shared" si="25"/>
        <v>0</v>
      </c>
      <c r="E236" s="73">
        <f t="shared" si="23"/>
        <v>0</v>
      </c>
      <c r="F236" s="73">
        <f t="shared" si="24"/>
        <v>0</v>
      </c>
      <c r="G236" s="73">
        <f t="shared" si="26"/>
        <v>0</v>
      </c>
    </row>
    <row r="237" spans="1:7">
      <c r="A237" s="79">
        <v>213</v>
      </c>
      <c r="C237" s="73">
        <f t="shared" si="22"/>
        <v>0</v>
      </c>
      <c r="D237" s="73">
        <f t="shared" si="25"/>
        <v>0</v>
      </c>
      <c r="E237" s="73">
        <f t="shared" si="23"/>
        <v>0</v>
      </c>
      <c r="F237" s="73">
        <f t="shared" si="24"/>
        <v>0</v>
      </c>
      <c r="G237" s="73">
        <f t="shared" si="26"/>
        <v>0</v>
      </c>
    </row>
    <row r="238" spans="1:7">
      <c r="A238" s="79">
        <v>214</v>
      </c>
      <c r="C238" s="73">
        <f t="shared" si="22"/>
        <v>0</v>
      </c>
      <c r="D238" s="73">
        <f t="shared" si="25"/>
        <v>0</v>
      </c>
      <c r="E238" s="73">
        <f t="shared" si="23"/>
        <v>0</v>
      </c>
      <c r="F238" s="73">
        <f t="shared" si="24"/>
        <v>0</v>
      </c>
      <c r="G238" s="73">
        <f t="shared" si="26"/>
        <v>0</v>
      </c>
    </row>
    <row r="239" spans="1:7">
      <c r="A239" s="79">
        <v>215</v>
      </c>
      <c r="C239" s="73">
        <f t="shared" si="22"/>
        <v>0</v>
      </c>
      <c r="D239" s="73">
        <f t="shared" si="25"/>
        <v>0</v>
      </c>
      <c r="E239" s="73">
        <f t="shared" si="23"/>
        <v>0</v>
      </c>
      <c r="F239" s="73">
        <f t="shared" si="24"/>
        <v>0</v>
      </c>
      <c r="G239" s="73">
        <f t="shared" si="26"/>
        <v>0</v>
      </c>
    </row>
    <row r="240" spans="1:7">
      <c r="A240" s="79">
        <v>216</v>
      </c>
      <c r="B240" s="1">
        <v>18</v>
      </c>
      <c r="C240" s="73">
        <f t="shared" si="22"/>
        <v>0</v>
      </c>
      <c r="D240" s="73">
        <f t="shared" si="25"/>
        <v>0</v>
      </c>
      <c r="E240" s="73">
        <f t="shared" si="23"/>
        <v>0</v>
      </c>
      <c r="F240" s="73">
        <f t="shared" si="24"/>
        <v>0</v>
      </c>
      <c r="G240" s="73">
        <f t="shared" si="26"/>
        <v>0</v>
      </c>
    </row>
    <row r="241" spans="1:7">
      <c r="A241" s="79">
        <v>217</v>
      </c>
      <c r="C241" s="73">
        <f t="shared" si="22"/>
        <v>0</v>
      </c>
      <c r="D241" s="73">
        <f t="shared" si="25"/>
        <v>0</v>
      </c>
      <c r="E241" s="73">
        <f t="shared" si="23"/>
        <v>0</v>
      </c>
      <c r="F241" s="73">
        <f t="shared" si="24"/>
        <v>0</v>
      </c>
      <c r="G241" s="73">
        <f t="shared" si="26"/>
        <v>0</v>
      </c>
    </row>
    <row r="242" spans="1:7">
      <c r="A242" s="79">
        <v>218</v>
      </c>
      <c r="C242" s="73">
        <f t="shared" si="22"/>
        <v>0</v>
      </c>
      <c r="D242" s="73">
        <f t="shared" si="25"/>
        <v>0</v>
      </c>
      <c r="E242" s="73">
        <f t="shared" si="23"/>
        <v>0</v>
      </c>
      <c r="F242" s="73">
        <f t="shared" si="24"/>
        <v>0</v>
      </c>
      <c r="G242" s="73">
        <f t="shared" si="26"/>
        <v>0</v>
      </c>
    </row>
    <row r="243" spans="1:7">
      <c r="A243" s="79">
        <v>219</v>
      </c>
      <c r="C243" s="73">
        <f t="shared" si="22"/>
        <v>0</v>
      </c>
      <c r="D243" s="73">
        <f t="shared" si="25"/>
        <v>0</v>
      </c>
      <c r="E243" s="73">
        <f t="shared" si="23"/>
        <v>0</v>
      </c>
      <c r="F243" s="73">
        <f t="shared" si="24"/>
        <v>0</v>
      </c>
      <c r="G243" s="73">
        <f t="shared" si="26"/>
        <v>0</v>
      </c>
    </row>
    <row r="244" spans="1:7">
      <c r="A244" s="79">
        <v>220</v>
      </c>
      <c r="C244" s="73">
        <f t="shared" si="22"/>
        <v>0</v>
      </c>
      <c r="D244" s="73">
        <f t="shared" si="25"/>
        <v>0</v>
      </c>
      <c r="E244" s="73">
        <f t="shared" si="23"/>
        <v>0</v>
      </c>
      <c r="F244" s="73">
        <f t="shared" si="24"/>
        <v>0</v>
      </c>
      <c r="G244" s="73">
        <f t="shared" si="26"/>
        <v>0</v>
      </c>
    </row>
    <row r="245" spans="1:7">
      <c r="A245" s="79">
        <v>221</v>
      </c>
      <c r="C245" s="73">
        <f t="shared" si="22"/>
        <v>0</v>
      </c>
      <c r="D245" s="73">
        <f t="shared" si="25"/>
        <v>0</v>
      </c>
      <c r="E245" s="73">
        <f t="shared" si="23"/>
        <v>0</v>
      </c>
      <c r="F245" s="73">
        <f t="shared" si="24"/>
        <v>0</v>
      </c>
      <c r="G245" s="73">
        <f t="shared" si="26"/>
        <v>0</v>
      </c>
    </row>
    <row r="246" spans="1:7">
      <c r="A246" s="79">
        <v>222</v>
      </c>
      <c r="C246" s="73">
        <f t="shared" si="22"/>
        <v>0</v>
      </c>
      <c r="D246" s="73">
        <f t="shared" si="25"/>
        <v>0</v>
      </c>
      <c r="E246" s="73">
        <f t="shared" si="23"/>
        <v>0</v>
      </c>
      <c r="F246" s="73">
        <f t="shared" si="24"/>
        <v>0</v>
      </c>
      <c r="G246" s="73">
        <f t="shared" si="26"/>
        <v>0</v>
      </c>
    </row>
    <row r="247" spans="1:7">
      <c r="A247" s="79">
        <v>223</v>
      </c>
      <c r="C247" s="73">
        <f t="shared" si="22"/>
        <v>0</v>
      </c>
      <c r="D247" s="73">
        <f t="shared" si="25"/>
        <v>0</v>
      </c>
      <c r="E247" s="73">
        <f t="shared" si="23"/>
        <v>0</v>
      </c>
      <c r="F247" s="73">
        <f t="shared" si="24"/>
        <v>0</v>
      </c>
      <c r="G247" s="73">
        <f t="shared" si="26"/>
        <v>0</v>
      </c>
    </row>
    <row r="248" spans="1:7">
      <c r="A248" s="79">
        <v>224</v>
      </c>
      <c r="C248" s="73">
        <f t="shared" si="22"/>
        <v>0</v>
      </c>
      <c r="D248" s="73">
        <f t="shared" si="25"/>
        <v>0</v>
      </c>
      <c r="E248" s="73">
        <f t="shared" si="23"/>
        <v>0</v>
      </c>
      <c r="F248" s="73">
        <f t="shared" si="24"/>
        <v>0</v>
      </c>
      <c r="G248" s="73">
        <f t="shared" si="26"/>
        <v>0</v>
      </c>
    </row>
    <row r="249" spans="1:7">
      <c r="A249" s="79">
        <v>225</v>
      </c>
      <c r="C249" s="73">
        <f t="shared" ref="C249:C312" si="27">IF(G248&gt;0,+G248,0)</f>
        <v>0</v>
      </c>
      <c r="D249" s="73">
        <f t="shared" si="25"/>
        <v>0</v>
      </c>
      <c r="E249" s="73">
        <f t="shared" ref="E249:E312" si="28">IF(D249&gt;0,+C249*$C$8/$C$10,0)</f>
        <v>0</v>
      </c>
      <c r="F249" s="73">
        <f t="shared" ref="F249:F312" si="29">IF(D249&gt;0,+D249-E249,0)</f>
        <v>0</v>
      </c>
      <c r="G249" s="73">
        <f t="shared" si="26"/>
        <v>0</v>
      </c>
    </row>
    <row r="250" spans="1:7">
      <c r="A250" s="79">
        <v>226</v>
      </c>
      <c r="C250" s="73">
        <f t="shared" si="27"/>
        <v>0</v>
      </c>
      <c r="D250" s="73">
        <f t="shared" si="25"/>
        <v>0</v>
      </c>
      <c r="E250" s="73">
        <f t="shared" si="28"/>
        <v>0</v>
      </c>
      <c r="F250" s="73">
        <f t="shared" si="29"/>
        <v>0</v>
      </c>
      <c r="G250" s="73">
        <f t="shared" si="26"/>
        <v>0</v>
      </c>
    </row>
    <row r="251" spans="1:7">
      <c r="A251" s="79">
        <v>227</v>
      </c>
      <c r="C251" s="73">
        <f t="shared" si="27"/>
        <v>0</v>
      </c>
      <c r="D251" s="73">
        <f t="shared" si="25"/>
        <v>0</v>
      </c>
      <c r="E251" s="73">
        <f t="shared" si="28"/>
        <v>0</v>
      </c>
      <c r="F251" s="73">
        <f t="shared" si="29"/>
        <v>0</v>
      </c>
      <c r="G251" s="73">
        <f t="shared" si="26"/>
        <v>0</v>
      </c>
    </row>
    <row r="252" spans="1:7">
      <c r="A252" s="79">
        <v>228</v>
      </c>
      <c r="B252" s="1">
        <v>19</v>
      </c>
      <c r="C252" s="73">
        <f t="shared" si="27"/>
        <v>0</v>
      </c>
      <c r="D252" s="73">
        <f t="shared" si="25"/>
        <v>0</v>
      </c>
      <c r="E252" s="73">
        <f t="shared" si="28"/>
        <v>0</v>
      </c>
      <c r="F252" s="73">
        <f t="shared" si="29"/>
        <v>0</v>
      </c>
      <c r="G252" s="73">
        <f t="shared" si="26"/>
        <v>0</v>
      </c>
    </row>
    <row r="253" spans="1:7">
      <c r="A253" s="79">
        <v>229</v>
      </c>
      <c r="C253" s="73">
        <f t="shared" si="27"/>
        <v>0</v>
      </c>
      <c r="D253" s="73">
        <f t="shared" si="25"/>
        <v>0</v>
      </c>
      <c r="E253" s="73">
        <f t="shared" si="28"/>
        <v>0</v>
      </c>
      <c r="F253" s="73">
        <f t="shared" si="29"/>
        <v>0</v>
      </c>
      <c r="G253" s="73">
        <f t="shared" si="26"/>
        <v>0</v>
      </c>
    </row>
    <row r="254" spans="1:7">
      <c r="A254" s="79">
        <v>230</v>
      </c>
      <c r="C254" s="73">
        <f t="shared" si="27"/>
        <v>0</v>
      </c>
      <c r="D254" s="73">
        <f t="shared" si="25"/>
        <v>0</v>
      </c>
      <c r="E254" s="73">
        <f t="shared" si="28"/>
        <v>0</v>
      </c>
      <c r="F254" s="73">
        <f t="shared" si="29"/>
        <v>0</v>
      </c>
      <c r="G254" s="73">
        <f t="shared" si="26"/>
        <v>0</v>
      </c>
    </row>
    <row r="255" spans="1:7">
      <c r="A255" s="79">
        <v>231</v>
      </c>
      <c r="C255" s="73">
        <f t="shared" si="27"/>
        <v>0</v>
      </c>
      <c r="D255" s="73">
        <f t="shared" si="25"/>
        <v>0</v>
      </c>
      <c r="E255" s="73">
        <f t="shared" si="28"/>
        <v>0</v>
      </c>
      <c r="F255" s="73">
        <f t="shared" si="29"/>
        <v>0</v>
      </c>
      <c r="G255" s="73">
        <f t="shared" si="26"/>
        <v>0</v>
      </c>
    </row>
    <row r="256" spans="1:7">
      <c r="A256" s="79">
        <v>232</v>
      </c>
      <c r="C256" s="73">
        <f t="shared" si="27"/>
        <v>0</v>
      </c>
      <c r="D256" s="73">
        <f t="shared" si="25"/>
        <v>0</v>
      </c>
      <c r="E256" s="73">
        <f t="shared" si="28"/>
        <v>0</v>
      </c>
      <c r="F256" s="73">
        <f t="shared" si="29"/>
        <v>0</v>
      </c>
      <c r="G256" s="73">
        <f t="shared" si="26"/>
        <v>0</v>
      </c>
    </row>
    <row r="257" spans="1:7">
      <c r="A257" s="79">
        <v>233</v>
      </c>
      <c r="C257" s="73">
        <f t="shared" si="27"/>
        <v>0</v>
      </c>
      <c r="D257" s="73">
        <f t="shared" si="25"/>
        <v>0</v>
      </c>
      <c r="E257" s="73">
        <f t="shared" si="28"/>
        <v>0</v>
      </c>
      <c r="F257" s="73">
        <f t="shared" si="29"/>
        <v>0</v>
      </c>
      <c r="G257" s="73">
        <f t="shared" si="26"/>
        <v>0</v>
      </c>
    </row>
    <row r="258" spans="1:7">
      <c r="A258" s="79">
        <v>234</v>
      </c>
      <c r="C258" s="73">
        <f t="shared" si="27"/>
        <v>0</v>
      </c>
      <c r="D258" s="73">
        <f t="shared" si="25"/>
        <v>0</v>
      </c>
      <c r="E258" s="73">
        <f t="shared" si="28"/>
        <v>0</v>
      </c>
      <c r="F258" s="73">
        <f t="shared" si="29"/>
        <v>0</v>
      </c>
      <c r="G258" s="73">
        <f t="shared" si="26"/>
        <v>0</v>
      </c>
    </row>
    <row r="259" spans="1:7">
      <c r="A259" s="79">
        <v>235</v>
      </c>
      <c r="C259" s="73">
        <f t="shared" si="27"/>
        <v>0</v>
      </c>
      <c r="D259" s="73">
        <f t="shared" si="25"/>
        <v>0</v>
      </c>
      <c r="E259" s="73">
        <f t="shared" si="28"/>
        <v>0</v>
      </c>
      <c r="F259" s="73">
        <f t="shared" si="29"/>
        <v>0</v>
      </c>
      <c r="G259" s="73">
        <f t="shared" si="26"/>
        <v>0</v>
      </c>
    </row>
    <row r="260" spans="1:7">
      <c r="A260" s="79">
        <v>236</v>
      </c>
      <c r="C260" s="73">
        <f t="shared" si="27"/>
        <v>0</v>
      </c>
      <c r="D260" s="73">
        <f t="shared" si="25"/>
        <v>0</v>
      </c>
      <c r="E260" s="73">
        <f t="shared" si="28"/>
        <v>0</v>
      </c>
      <c r="F260" s="73">
        <f t="shared" si="29"/>
        <v>0</v>
      </c>
      <c r="G260" s="73">
        <f t="shared" si="26"/>
        <v>0</v>
      </c>
    </row>
    <row r="261" spans="1:7">
      <c r="A261" s="79">
        <v>237</v>
      </c>
      <c r="C261" s="73">
        <f t="shared" si="27"/>
        <v>0</v>
      </c>
      <c r="D261" s="73">
        <f t="shared" si="25"/>
        <v>0</v>
      </c>
      <c r="E261" s="73">
        <f t="shared" si="28"/>
        <v>0</v>
      </c>
      <c r="F261" s="73">
        <f t="shared" si="29"/>
        <v>0</v>
      </c>
      <c r="G261" s="73">
        <f t="shared" si="26"/>
        <v>0</v>
      </c>
    </row>
    <row r="262" spans="1:7">
      <c r="A262" s="79">
        <v>238</v>
      </c>
      <c r="C262" s="73">
        <f t="shared" si="27"/>
        <v>0</v>
      </c>
      <c r="D262" s="73">
        <f t="shared" si="25"/>
        <v>0</v>
      </c>
      <c r="E262" s="73">
        <f t="shared" si="28"/>
        <v>0</v>
      </c>
      <c r="F262" s="73">
        <f t="shared" si="29"/>
        <v>0</v>
      </c>
      <c r="G262" s="73">
        <f t="shared" si="26"/>
        <v>0</v>
      </c>
    </row>
    <row r="263" spans="1:7">
      <c r="A263" s="79">
        <v>239</v>
      </c>
      <c r="C263" s="73">
        <f t="shared" si="27"/>
        <v>0</v>
      </c>
      <c r="D263" s="73">
        <f t="shared" si="25"/>
        <v>0</v>
      </c>
      <c r="E263" s="73">
        <f t="shared" si="28"/>
        <v>0</v>
      </c>
      <c r="F263" s="73">
        <f t="shared" si="29"/>
        <v>0</v>
      </c>
      <c r="G263" s="73">
        <f t="shared" si="26"/>
        <v>0</v>
      </c>
    </row>
    <row r="264" spans="1:7">
      <c r="A264" s="79">
        <v>240</v>
      </c>
      <c r="B264" s="1">
        <v>20</v>
      </c>
      <c r="C264" s="73">
        <f t="shared" si="27"/>
        <v>0</v>
      </c>
      <c r="D264" s="73">
        <f t="shared" si="25"/>
        <v>0</v>
      </c>
      <c r="E264" s="73">
        <f t="shared" si="28"/>
        <v>0</v>
      </c>
      <c r="F264" s="73">
        <f t="shared" si="29"/>
        <v>0</v>
      </c>
      <c r="G264" s="73">
        <f t="shared" si="26"/>
        <v>0</v>
      </c>
    </row>
    <row r="265" spans="1:7">
      <c r="A265" s="79">
        <v>241</v>
      </c>
      <c r="C265" s="73">
        <f t="shared" si="27"/>
        <v>0</v>
      </c>
      <c r="D265" s="73">
        <f t="shared" si="25"/>
        <v>0</v>
      </c>
      <c r="E265" s="73">
        <f t="shared" si="28"/>
        <v>0</v>
      </c>
      <c r="F265" s="73">
        <f t="shared" si="29"/>
        <v>0</v>
      </c>
      <c r="G265" s="73">
        <f t="shared" si="26"/>
        <v>0</v>
      </c>
    </row>
    <row r="266" spans="1:7">
      <c r="A266" s="79">
        <v>242</v>
      </c>
      <c r="C266" s="73">
        <f t="shared" si="27"/>
        <v>0</v>
      </c>
      <c r="D266" s="73">
        <f t="shared" si="25"/>
        <v>0</v>
      </c>
      <c r="E266" s="73">
        <f t="shared" si="28"/>
        <v>0</v>
      </c>
      <c r="F266" s="73">
        <f t="shared" si="29"/>
        <v>0</v>
      </c>
      <c r="G266" s="73">
        <f t="shared" si="26"/>
        <v>0</v>
      </c>
    </row>
    <row r="267" spans="1:7">
      <c r="A267" s="79">
        <v>243</v>
      </c>
      <c r="C267" s="73">
        <f t="shared" si="27"/>
        <v>0</v>
      </c>
      <c r="D267" s="73">
        <f t="shared" si="25"/>
        <v>0</v>
      </c>
      <c r="E267" s="73">
        <f t="shared" si="28"/>
        <v>0</v>
      </c>
      <c r="F267" s="73">
        <f t="shared" si="29"/>
        <v>0</v>
      </c>
      <c r="G267" s="73">
        <f t="shared" si="26"/>
        <v>0</v>
      </c>
    </row>
    <row r="268" spans="1:7">
      <c r="A268" s="79">
        <v>244</v>
      </c>
      <c r="C268" s="73">
        <f t="shared" si="27"/>
        <v>0</v>
      </c>
      <c r="D268" s="73">
        <f t="shared" si="25"/>
        <v>0</v>
      </c>
      <c r="E268" s="73">
        <f t="shared" si="28"/>
        <v>0</v>
      </c>
      <c r="F268" s="73">
        <f t="shared" si="29"/>
        <v>0</v>
      </c>
      <c r="G268" s="73">
        <f t="shared" si="26"/>
        <v>0</v>
      </c>
    </row>
    <row r="269" spans="1:7">
      <c r="A269" s="79">
        <v>245</v>
      </c>
      <c r="C269" s="73">
        <f t="shared" si="27"/>
        <v>0</v>
      </c>
      <c r="D269" s="73">
        <f t="shared" si="25"/>
        <v>0</v>
      </c>
      <c r="E269" s="73">
        <f t="shared" si="28"/>
        <v>0</v>
      </c>
      <c r="F269" s="73">
        <f t="shared" si="29"/>
        <v>0</v>
      </c>
      <c r="G269" s="73">
        <f t="shared" si="26"/>
        <v>0</v>
      </c>
    </row>
    <row r="270" spans="1:7">
      <c r="A270" s="79">
        <v>246</v>
      </c>
      <c r="C270" s="73">
        <f t="shared" si="27"/>
        <v>0</v>
      </c>
      <c r="D270" s="73">
        <f t="shared" si="25"/>
        <v>0</v>
      </c>
      <c r="E270" s="73">
        <f t="shared" si="28"/>
        <v>0</v>
      </c>
      <c r="F270" s="73">
        <f t="shared" si="29"/>
        <v>0</v>
      </c>
      <c r="G270" s="73">
        <f t="shared" si="26"/>
        <v>0</v>
      </c>
    </row>
    <row r="271" spans="1:7">
      <c r="A271" s="79">
        <v>247</v>
      </c>
      <c r="C271" s="73">
        <f t="shared" si="27"/>
        <v>0</v>
      </c>
      <c r="D271" s="73">
        <f t="shared" si="25"/>
        <v>0</v>
      </c>
      <c r="E271" s="73">
        <f t="shared" si="28"/>
        <v>0</v>
      </c>
      <c r="F271" s="73">
        <f t="shared" si="29"/>
        <v>0</v>
      </c>
      <c r="G271" s="73">
        <f t="shared" si="26"/>
        <v>0</v>
      </c>
    </row>
    <row r="272" spans="1:7">
      <c r="A272" s="79">
        <v>248</v>
      </c>
      <c r="C272" s="73">
        <f t="shared" si="27"/>
        <v>0</v>
      </c>
      <c r="D272" s="73">
        <f t="shared" si="25"/>
        <v>0</v>
      </c>
      <c r="E272" s="73">
        <f t="shared" si="28"/>
        <v>0</v>
      </c>
      <c r="F272" s="73">
        <f t="shared" si="29"/>
        <v>0</v>
      </c>
      <c r="G272" s="73">
        <f t="shared" si="26"/>
        <v>0</v>
      </c>
    </row>
    <row r="273" spans="1:7">
      <c r="A273" s="79">
        <v>249</v>
      </c>
      <c r="C273" s="73">
        <f t="shared" si="27"/>
        <v>0</v>
      </c>
      <c r="D273" s="73">
        <f t="shared" si="25"/>
        <v>0</v>
      </c>
      <c r="E273" s="73">
        <f t="shared" si="28"/>
        <v>0</v>
      </c>
      <c r="F273" s="73">
        <f t="shared" si="29"/>
        <v>0</v>
      </c>
      <c r="G273" s="73">
        <f t="shared" si="26"/>
        <v>0</v>
      </c>
    </row>
    <row r="274" spans="1:7">
      <c r="A274" s="79">
        <v>250</v>
      </c>
      <c r="C274" s="73">
        <f t="shared" si="27"/>
        <v>0</v>
      </c>
      <c r="D274" s="73">
        <f t="shared" si="25"/>
        <v>0</v>
      </c>
      <c r="E274" s="73">
        <f t="shared" si="28"/>
        <v>0</v>
      </c>
      <c r="F274" s="73">
        <f t="shared" si="29"/>
        <v>0</v>
      </c>
      <c r="G274" s="73">
        <f t="shared" si="26"/>
        <v>0</v>
      </c>
    </row>
    <row r="275" spans="1:7">
      <c r="A275" s="79">
        <v>251</v>
      </c>
      <c r="C275" s="73">
        <f t="shared" si="27"/>
        <v>0</v>
      </c>
      <c r="D275" s="73">
        <f t="shared" si="25"/>
        <v>0</v>
      </c>
      <c r="E275" s="73">
        <f t="shared" si="28"/>
        <v>0</v>
      </c>
      <c r="F275" s="73">
        <f t="shared" si="29"/>
        <v>0</v>
      </c>
      <c r="G275" s="73">
        <f t="shared" si="26"/>
        <v>0</v>
      </c>
    </row>
    <row r="276" spans="1:7">
      <c r="A276" s="79">
        <v>252</v>
      </c>
      <c r="C276" s="73">
        <f t="shared" si="27"/>
        <v>0</v>
      </c>
      <c r="D276" s="73">
        <f t="shared" si="25"/>
        <v>0</v>
      </c>
      <c r="E276" s="73">
        <f t="shared" si="28"/>
        <v>0</v>
      </c>
      <c r="F276" s="73">
        <f t="shared" si="29"/>
        <v>0</v>
      </c>
      <c r="G276" s="73">
        <f t="shared" si="26"/>
        <v>0</v>
      </c>
    </row>
    <row r="277" spans="1:7">
      <c r="A277" s="79">
        <v>253</v>
      </c>
      <c r="C277" s="73">
        <f t="shared" si="27"/>
        <v>0</v>
      </c>
      <c r="D277" s="73">
        <f t="shared" si="25"/>
        <v>0</v>
      </c>
      <c r="E277" s="73">
        <f t="shared" si="28"/>
        <v>0</v>
      </c>
      <c r="F277" s="73">
        <f t="shared" si="29"/>
        <v>0</v>
      </c>
      <c r="G277" s="73">
        <f t="shared" si="26"/>
        <v>0</v>
      </c>
    </row>
    <row r="278" spans="1:7">
      <c r="A278" s="79">
        <v>254</v>
      </c>
      <c r="C278" s="73">
        <f t="shared" si="27"/>
        <v>0</v>
      </c>
      <c r="D278" s="73">
        <f t="shared" si="25"/>
        <v>0</v>
      </c>
      <c r="E278" s="73">
        <f t="shared" si="28"/>
        <v>0</v>
      </c>
      <c r="F278" s="73">
        <f t="shared" si="29"/>
        <v>0</v>
      </c>
      <c r="G278" s="73">
        <f t="shared" si="26"/>
        <v>0</v>
      </c>
    </row>
    <row r="279" spans="1:7">
      <c r="A279" s="79">
        <v>255</v>
      </c>
      <c r="C279" s="73">
        <f t="shared" si="27"/>
        <v>0</v>
      </c>
      <c r="D279" s="73">
        <f t="shared" si="25"/>
        <v>0</v>
      </c>
      <c r="E279" s="73">
        <f t="shared" si="28"/>
        <v>0</v>
      </c>
      <c r="F279" s="73">
        <f t="shared" si="29"/>
        <v>0</v>
      </c>
      <c r="G279" s="73">
        <f t="shared" si="26"/>
        <v>0</v>
      </c>
    </row>
    <row r="280" spans="1:7">
      <c r="A280" s="79">
        <v>256</v>
      </c>
      <c r="C280" s="73">
        <f t="shared" si="27"/>
        <v>0</v>
      </c>
      <c r="D280" s="73">
        <f t="shared" si="25"/>
        <v>0</v>
      </c>
      <c r="E280" s="73">
        <f t="shared" si="28"/>
        <v>0</v>
      </c>
      <c r="F280" s="73">
        <f t="shared" si="29"/>
        <v>0</v>
      </c>
      <c r="G280" s="73">
        <f t="shared" si="26"/>
        <v>0</v>
      </c>
    </row>
    <row r="281" spans="1:7">
      <c r="A281" s="79">
        <v>257</v>
      </c>
      <c r="C281" s="73">
        <f t="shared" si="27"/>
        <v>0</v>
      </c>
      <c r="D281" s="73">
        <f t="shared" si="25"/>
        <v>0</v>
      </c>
      <c r="E281" s="73">
        <f t="shared" si="28"/>
        <v>0</v>
      </c>
      <c r="F281" s="73">
        <f t="shared" si="29"/>
        <v>0</v>
      </c>
      <c r="G281" s="73">
        <f t="shared" si="26"/>
        <v>0</v>
      </c>
    </row>
    <row r="282" spans="1:7">
      <c r="A282" s="79">
        <v>258</v>
      </c>
      <c r="C282" s="73">
        <f t="shared" si="27"/>
        <v>0</v>
      </c>
      <c r="D282" s="73">
        <f t="shared" ref="D282:D345" si="30">IF(A282&lt;=$C$10*$C$9,$C$11,IF(C282&gt;0,C282,0))</f>
        <v>0</v>
      </c>
      <c r="E282" s="73">
        <f t="shared" si="28"/>
        <v>0</v>
      </c>
      <c r="F282" s="73">
        <f t="shared" si="29"/>
        <v>0</v>
      </c>
      <c r="G282" s="73">
        <f t="shared" ref="G282:G345" si="31">IF(AND(A282&gt;$C$9*$C$10,G281&lt;=0),0,ROUND(C282-F282,2))</f>
        <v>0</v>
      </c>
    </row>
    <row r="283" spans="1:7">
      <c r="A283" s="79">
        <v>259</v>
      </c>
      <c r="C283" s="73">
        <f t="shared" si="27"/>
        <v>0</v>
      </c>
      <c r="D283" s="73">
        <f t="shared" si="30"/>
        <v>0</v>
      </c>
      <c r="E283" s="73">
        <f t="shared" si="28"/>
        <v>0</v>
      </c>
      <c r="F283" s="73">
        <f t="shared" si="29"/>
        <v>0</v>
      </c>
      <c r="G283" s="73">
        <f t="shared" si="31"/>
        <v>0</v>
      </c>
    </row>
    <row r="284" spans="1:7">
      <c r="A284" s="79">
        <v>260</v>
      </c>
      <c r="C284" s="73">
        <f t="shared" si="27"/>
        <v>0</v>
      </c>
      <c r="D284" s="73">
        <f t="shared" si="30"/>
        <v>0</v>
      </c>
      <c r="E284" s="73">
        <f t="shared" si="28"/>
        <v>0</v>
      </c>
      <c r="F284" s="73">
        <f t="shared" si="29"/>
        <v>0</v>
      </c>
      <c r="G284" s="73">
        <f t="shared" si="31"/>
        <v>0</v>
      </c>
    </row>
    <row r="285" spans="1:7">
      <c r="A285" s="79">
        <v>261</v>
      </c>
      <c r="C285" s="73">
        <f t="shared" si="27"/>
        <v>0</v>
      </c>
      <c r="D285" s="73">
        <f t="shared" si="30"/>
        <v>0</v>
      </c>
      <c r="E285" s="73">
        <f t="shared" si="28"/>
        <v>0</v>
      </c>
      <c r="F285" s="73">
        <f t="shared" si="29"/>
        <v>0</v>
      </c>
      <c r="G285" s="73">
        <f t="shared" si="31"/>
        <v>0</v>
      </c>
    </row>
    <row r="286" spans="1:7">
      <c r="A286" s="79">
        <v>262</v>
      </c>
      <c r="C286" s="73">
        <f t="shared" si="27"/>
        <v>0</v>
      </c>
      <c r="D286" s="73">
        <f t="shared" si="30"/>
        <v>0</v>
      </c>
      <c r="E286" s="73">
        <f t="shared" si="28"/>
        <v>0</v>
      </c>
      <c r="F286" s="73">
        <f t="shared" si="29"/>
        <v>0</v>
      </c>
      <c r="G286" s="73">
        <f t="shared" si="31"/>
        <v>0</v>
      </c>
    </row>
    <row r="287" spans="1:7">
      <c r="A287" s="79">
        <v>263</v>
      </c>
      <c r="C287" s="73">
        <f t="shared" si="27"/>
        <v>0</v>
      </c>
      <c r="D287" s="73">
        <f t="shared" si="30"/>
        <v>0</v>
      </c>
      <c r="E287" s="73">
        <f t="shared" si="28"/>
        <v>0</v>
      </c>
      <c r="F287" s="73">
        <f t="shared" si="29"/>
        <v>0</v>
      </c>
      <c r="G287" s="73">
        <f t="shared" si="31"/>
        <v>0</v>
      </c>
    </row>
    <row r="288" spans="1:7">
      <c r="A288" s="79">
        <v>264</v>
      </c>
      <c r="C288" s="73">
        <f t="shared" si="27"/>
        <v>0</v>
      </c>
      <c r="D288" s="73">
        <f t="shared" si="30"/>
        <v>0</v>
      </c>
      <c r="E288" s="73">
        <f t="shared" si="28"/>
        <v>0</v>
      </c>
      <c r="F288" s="73">
        <f t="shared" si="29"/>
        <v>0</v>
      </c>
      <c r="G288" s="73">
        <f t="shared" si="31"/>
        <v>0</v>
      </c>
    </row>
    <row r="289" spans="1:7">
      <c r="A289" s="79">
        <v>265</v>
      </c>
      <c r="C289" s="73">
        <f t="shared" si="27"/>
        <v>0</v>
      </c>
      <c r="D289" s="73">
        <f t="shared" si="30"/>
        <v>0</v>
      </c>
      <c r="E289" s="73">
        <f t="shared" si="28"/>
        <v>0</v>
      </c>
      <c r="F289" s="73">
        <f t="shared" si="29"/>
        <v>0</v>
      </c>
      <c r="G289" s="73">
        <f t="shared" si="31"/>
        <v>0</v>
      </c>
    </row>
    <row r="290" spans="1:7">
      <c r="A290" s="79">
        <v>266</v>
      </c>
      <c r="C290" s="73">
        <f t="shared" si="27"/>
        <v>0</v>
      </c>
      <c r="D290" s="73">
        <f t="shared" si="30"/>
        <v>0</v>
      </c>
      <c r="E290" s="73">
        <f t="shared" si="28"/>
        <v>0</v>
      </c>
      <c r="F290" s="73">
        <f t="shared" si="29"/>
        <v>0</v>
      </c>
      <c r="G290" s="73">
        <f t="shared" si="31"/>
        <v>0</v>
      </c>
    </row>
    <row r="291" spans="1:7">
      <c r="A291" s="79">
        <v>267</v>
      </c>
      <c r="C291" s="73">
        <f t="shared" si="27"/>
        <v>0</v>
      </c>
      <c r="D291" s="73">
        <f t="shared" si="30"/>
        <v>0</v>
      </c>
      <c r="E291" s="73">
        <f t="shared" si="28"/>
        <v>0</v>
      </c>
      <c r="F291" s="73">
        <f t="shared" si="29"/>
        <v>0</v>
      </c>
      <c r="G291" s="73">
        <f t="shared" si="31"/>
        <v>0</v>
      </c>
    </row>
    <row r="292" spans="1:7">
      <c r="A292" s="79">
        <v>268</v>
      </c>
      <c r="C292" s="73">
        <f t="shared" si="27"/>
        <v>0</v>
      </c>
      <c r="D292" s="73">
        <f t="shared" si="30"/>
        <v>0</v>
      </c>
      <c r="E292" s="73">
        <f t="shared" si="28"/>
        <v>0</v>
      </c>
      <c r="F292" s="73">
        <f t="shared" si="29"/>
        <v>0</v>
      </c>
      <c r="G292" s="73">
        <f t="shared" si="31"/>
        <v>0</v>
      </c>
    </row>
    <row r="293" spans="1:7">
      <c r="A293" s="79">
        <v>269</v>
      </c>
      <c r="C293" s="73">
        <f t="shared" si="27"/>
        <v>0</v>
      </c>
      <c r="D293" s="73">
        <f t="shared" si="30"/>
        <v>0</v>
      </c>
      <c r="E293" s="73">
        <f t="shared" si="28"/>
        <v>0</v>
      </c>
      <c r="F293" s="73">
        <f t="shared" si="29"/>
        <v>0</v>
      </c>
      <c r="G293" s="73">
        <f t="shared" si="31"/>
        <v>0</v>
      </c>
    </row>
    <row r="294" spans="1:7">
      <c r="A294" s="79">
        <v>270</v>
      </c>
      <c r="C294" s="73">
        <f t="shared" si="27"/>
        <v>0</v>
      </c>
      <c r="D294" s="73">
        <f t="shared" si="30"/>
        <v>0</v>
      </c>
      <c r="E294" s="73">
        <f t="shared" si="28"/>
        <v>0</v>
      </c>
      <c r="F294" s="73">
        <f t="shared" si="29"/>
        <v>0</v>
      </c>
      <c r="G294" s="73">
        <f t="shared" si="31"/>
        <v>0</v>
      </c>
    </row>
    <row r="295" spans="1:7">
      <c r="A295" s="79">
        <v>271</v>
      </c>
      <c r="C295" s="73">
        <f t="shared" si="27"/>
        <v>0</v>
      </c>
      <c r="D295" s="73">
        <f t="shared" si="30"/>
        <v>0</v>
      </c>
      <c r="E295" s="73">
        <f t="shared" si="28"/>
        <v>0</v>
      </c>
      <c r="F295" s="73">
        <f t="shared" si="29"/>
        <v>0</v>
      </c>
      <c r="G295" s="73">
        <f t="shared" si="31"/>
        <v>0</v>
      </c>
    </row>
    <row r="296" spans="1:7">
      <c r="A296" s="79">
        <v>272</v>
      </c>
      <c r="C296" s="73">
        <f t="shared" si="27"/>
        <v>0</v>
      </c>
      <c r="D296" s="73">
        <f t="shared" si="30"/>
        <v>0</v>
      </c>
      <c r="E296" s="73">
        <f t="shared" si="28"/>
        <v>0</v>
      </c>
      <c r="F296" s="73">
        <f t="shared" si="29"/>
        <v>0</v>
      </c>
      <c r="G296" s="73">
        <f t="shared" si="31"/>
        <v>0</v>
      </c>
    </row>
    <row r="297" spans="1:7">
      <c r="A297" s="79">
        <v>273</v>
      </c>
      <c r="C297" s="73">
        <f t="shared" si="27"/>
        <v>0</v>
      </c>
      <c r="D297" s="73">
        <f t="shared" si="30"/>
        <v>0</v>
      </c>
      <c r="E297" s="73">
        <f t="shared" si="28"/>
        <v>0</v>
      </c>
      <c r="F297" s="73">
        <f t="shared" si="29"/>
        <v>0</v>
      </c>
      <c r="G297" s="73">
        <f t="shared" si="31"/>
        <v>0</v>
      </c>
    </row>
    <row r="298" spans="1:7">
      <c r="A298" s="79">
        <v>274</v>
      </c>
      <c r="C298" s="73">
        <f t="shared" si="27"/>
        <v>0</v>
      </c>
      <c r="D298" s="73">
        <f t="shared" si="30"/>
        <v>0</v>
      </c>
      <c r="E298" s="73">
        <f t="shared" si="28"/>
        <v>0</v>
      </c>
      <c r="F298" s="73">
        <f t="shared" si="29"/>
        <v>0</v>
      </c>
      <c r="G298" s="73">
        <f t="shared" si="31"/>
        <v>0</v>
      </c>
    </row>
    <row r="299" spans="1:7">
      <c r="A299" s="79">
        <v>275</v>
      </c>
      <c r="C299" s="73">
        <f t="shared" si="27"/>
        <v>0</v>
      </c>
      <c r="D299" s="73">
        <f t="shared" si="30"/>
        <v>0</v>
      </c>
      <c r="E299" s="73">
        <f t="shared" si="28"/>
        <v>0</v>
      </c>
      <c r="F299" s="73">
        <f t="shared" si="29"/>
        <v>0</v>
      </c>
      <c r="G299" s="73">
        <f t="shared" si="31"/>
        <v>0</v>
      </c>
    </row>
    <row r="300" spans="1:7">
      <c r="A300" s="79">
        <v>276</v>
      </c>
      <c r="C300" s="73">
        <f t="shared" si="27"/>
        <v>0</v>
      </c>
      <c r="D300" s="73">
        <f t="shared" si="30"/>
        <v>0</v>
      </c>
      <c r="E300" s="73">
        <f t="shared" si="28"/>
        <v>0</v>
      </c>
      <c r="F300" s="73">
        <f t="shared" si="29"/>
        <v>0</v>
      </c>
      <c r="G300" s="73">
        <f t="shared" si="31"/>
        <v>0</v>
      </c>
    </row>
    <row r="301" spans="1:7">
      <c r="A301" s="79">
        <v>277</v>
      </c>
      <c r="C301" s="73">
        <f t="shared" si="27"/>
        <v>0</v>
      </c>
      <c r="D301" s="73">
        <f t="shared" si="30"/>
        <v>0</v>
      </c>
      <c r="E301" s="73">
        <f t="shared" si="28"/>
        <v>0</v>
      </c>
      <c r="F301" s="73">
        <f t="shared" si="29"/>
        <v>0</v>
      </c>
      <c r="G301" s="73">
        <f t="shared" si="31"/>
        <v>0</v>
      </c>
    </row>
    <row r="302" spans="1:7">
      <c r="A302" s="79">
        <v>278</v>
      </c>
      <c r="C302" s="73">
        <f t="shared" si="27"/>
        <v>0</v>
      </c>
      <c r="D302" s="73">
        <f t="shared" si="30"/>
        <v>0</v>
      </c>
      <c r="E302" s="73">
        <f t="shared" si="28"/>
        <v>0</v>
      </c>
      <c r="F302" s="73">
        <f t="shared" si="29"/>
        <v>0</v>
      </c>
      <c r="G302" s="73">
        <f t="shared" si="31"/>
        <v>0</v>
      </c>
    </row>
    <row r="303" spans="1:7">
      <c r="A303" s="79">
        <v>279</v>
      </c>
      <c r="C303" s="73">
        <f t="shared" si="27"/>
        <v>0</v>
      </c>
      <c r="D303" s="73">
        <f t="shared" si="30"/>
        <v>0</v>
      </c>
      <c r="E303" s="73">
        <f t="shared" si="28"/>
        <v>0</v>
      </c>
      <c r="F303" s="73">
        <f t="shared" si="29"/>
        <v>0</v>
      </c>
      <c r="G303" s="73">
        <f t="shared" si="31"/>
        <v>0</v>
      </c>
    </row>
    <row r="304" spans="1:7">
      <c r="A304" s="79">
        <v>280</v>
      </c>
      <c r="C304" s="73">
        <f t="shared" si="27"/>
        <v>0</v>
      </c>
      <c r="D304" s="73">
        <f t="shared" si="30"/>
        <v>0</v>
      </c>
      <c r="E304" s="73">
        <f t="shared" si="28"/>
        <v>0</v>
      </c>
      <c r="F304" s="73">
        <f t="shared" si="29"/>
        <v>0</v>
      </c>
      <c r="G304" s="73">
        <f t="shared" si="31"/>
        <v>0</v>
      </c>
    </row>
    <row r="305" spans="1:7">
      <c r="A305" s="79">
        <v>281</v>
      </c>
      <c r="C305" s="73">
        <f t="shared" si="27"/>
        <v>0</v>
      </c>
      <c r="D305" s="73">
        <f t="shared" si="30"/>
        <v>0</v>
      </c>
      <c r="E305" s="73">
        <f t="shared" si="28"/>
        <v>0</v>
      </c>
      <c r="F305" s="73">
        <f t="shared" si="29"/>
        <v>0</v>
      </c>
      <c r="G305" s="73">
        <f t="shared" si="31"/>
        <v>0</v>
      </c>
    </row>
    <row r="306" spans="1:7">
      <c r="A306" s="79">
        <v>282</v>
      </c>
      <c r="C306" s="73">
        <f t="shared" si="27"/>
        <v>0</v>
      </c>
      <c r="D306" s="73">
        <f t="shared" si="30"/>
        <v>0</v>
      </c>
      <c r="E306" s="73">
        <f t="shared" si="28"/>
        <v>0</v>
      </c>
      <c r="F306" s="73">
        <f t="shared" si="29"/>
        <v>0</v>
      </c>
      <c r="G306" s="73">
        <f t="shared" si="31"/>
        <v>0</v>
      </c>
    </row>
    <row r="307" spans="1:7">
      <c r="A307" s="79">
        <v>283</v>
      </c>
      <c r="C307" s="73">
        <f t="shared" si="27"/>
        <v>0</v>
      </c>
      <c r="D307" s="73">
        <f t="shared" si="30"/>
        <v>0</v>
      </c>
      <c r="E307" s="73">
        <f t="shared" si="28"/>
        <v>0</v>
      </c>
      <c r="F307" s="73">
        <f t="shared" si="29"/>
        <v>0</v>
      </c>
      <c r="G307" s="73">
        <f t="shared" si="31"/>
        <v>0</v>
      </c>
    </row>
    <row r="308" spans="1:7">
      <c r="A308" s="79">
        <v>284</v>
      </c>
      <c r="C308" s="73">
        <f t="shared" si="27"/>
        <v>0</v>
      </c>
      <c r="D308" s="73">
        <f t="shared" si="30"/>
        <v>0</v>
      </c>
      <c r="E308" s="73">
        <f t="shared" si="28"/>
        <v>0</v>
      </c>
      <c r="F308" s="73">
        <f t="shared" si="29"/>
        <v>0</v>
      </c>
      <c r="G308" s="73">
        <f t="shared" si="31"/>
        <v>0</v>
      </c>
    </row>
    <row r="309" spans="1:7">
      <c r="A309" s="79">
        <v>285</v>
      </c>
      <c r="C309" s="73">
        <f t="shared" si="27"/>
        <v>0</v>
      </c>
      <c r="D309" s="73">
        <f t="shared" si="30"/>
        <v>0</v>
      </c>
      <c r="E309" s="73">
        <f t="shared" si="28"/>
        <v>0</v>
      </c>
      <c r="F309" s="73">
        <f t="shared" si="29"/>
        <v>0</v>
      </c>
      <c r="G309" s="73">
        <f t="shared" si="31"/>
        <v>0</v>
      </c>
    </row>
    <row r="310" spans="1:7">
      <c r="A310" s="79">
        <v>286</v>
      </c>
      <c r="C310" s="73">
        <f t="shared" si="27"/>
        <v>0</v>
      </c>
      <c r="D310" s="73">
        <f t="shared" si="30"/>
        <v>0</v>
      </c>
      <c r="E310" s="73">
        <f t="shared" si="28"/>
        <v>0</v>
      </c>
      <c r="F310" s="73">
        <f t="shared" si="29"/>
        <v>0</v>
      </c>
      <c r="G310" s="73">
        <f t="shared" si="31"/>
        <v>0</v>
      </c>
    </row>
    <row r="311" spans="1:7">
      <c r="A311" s="79">
        <v>287</v>
      </c>
      <c r="C311" s="73">
        <f t="shared" si="27"/>
        <v>0</v>
      </c>
      <c r="D311" s="73">
        <f t="shared" si="30"/>
        <v>0</v>
      </c>
      <c r="E311" s="73">
        <f t="shared" si="28"/>
        <v>0</v>
      </c>
      <c r="F311" s="73">
        <f t="shared" si="29"/>
        <v>0</v>
      </c>
      <c r="G311" s="73">
        <f t="shared" si="31"/>
        <v>0</v>
      </c>
    </row>
    <row r="312" spans="1:7">
      <c r="A312" s="79">
        <v>288</v>
      </c>
      <c r="C312" s="73">
        <f t="shared" si="27"/>
        <v>0</v>
      </c>
      <c r="D312" s="73">
        <f t="shared" si="30"/>
        <v>0</v>
      </c>
      <c r="E312" s="73">
        <f t="shared" si="28"/>
        <v>0</v>
      </c>
      <c r="F312" s="73">
        <f t="shared" si="29"/>
        <v>0</v>
      </c>
      <c r="G312" s="73">
        <f t="shared" si="31"/>
        <v>0</v>
      </c>
    </row>
    <row r="313" spans="1:7">
      <c r="A313" s="79">
        <v>289</v>
      </c>
      <c r="C313" s="73">
        <f t="shared" ref="C313:C376" si="32">IF(G312&gt;0,+G312,0)</f>
        <v>0</v>
      </c>
      <c r="D313" s="73">
        <f t="shared" si="30"/>
        <v>0</v>
      </c>
      <c r="E313" s="73">
        <f t="shared" ref="E313:E376" si="33">IF(D313&gt;0,+C313*$C$8/$C$10,0)</f>
        <v>0</v>
      </c>
      <c r="F313" s="73">
        <f t="shared" ref="F313:F376" si="34">IF(D313&gt;0,+D313-E313,0)</f>
        <v>0</v>
      </c>
      <c r="G313" s="73">
        <f t="shared" si="31"/>
        <v>0</v>
      </c>
    </row>
    <row r="314" spans="1:7">
      <c r="A314" s="79">
        <v>290</v>
      </c>
      <c r="C314" s="73">
        <f t="shared" si="32"/>
        <v>0</v>
      </c>
      <c r="D314" s="73">
        <f t="shared" si="30"/>
        <v>0</v>
      </c>
      <c r="E314" s="73">
        <f t="shared" si="33"/>
        <v>0</v>
      </c>
      <c r="F314" s="73">
        <f t="shared" si="34"/>
        <v>0</v>
      </c>
      <c r="G314" s="73">
        <f t="shared" si="31"/>
        <v>0</v>
      </c>
    </row>
    <row r="315" spans="1:7">
      <c r="A315" s="79">
        <v>291</v>
      </c>
      <c r="C315" s="73">
        <f t="shared" si="32"/>
        <v>0</v>
      </c>
      <c r="D315" s="73">
        <f t="shared" si="30"/>
        <v>0</v>
      </c>
      <c r="E315" s="73">
        <f t="shared" si="33"/>
        <v>0</v>
      </c>
      <c r="F315" s="73">
        <f t="shared" si="34"/>
        <v>0</v>
      </c>
      <c r="G315" s="73">
        <f t="shared" si="31"/>
        <v>0</v>
      </c>
    </row>
    <row r="316" spans="1:7">
      <c r="A316" s="79">
        <v>292</v>
      </c>
      <c r="C316" s="73">
        <f t="shared" si="32"/>
        <v>0</v>
      </c>
      <c r="D316" s="73">
        <f t="shared" si="30"/>
        <v>0</v>
      </c>
      <c r="E316" s="73">
        <f t="shared" si="33"/>
        <v>0</v>
      </c>
      <c r="F316" s="73">
        <f t="shared" si="34"/>
        <v>0</v>
      </c>
      <c r="G316" s="73">
        <f t="shared" si="31"/>
        <v>0</v>
      </c>
    </row>
    <row r="317" spans="1:7">
      <c r="A317" s="79">
        <v>293</v>
      </c>
      <c r="C317" s="73">
        <f t="shared" si="32"/>
        <v>0</v>
      </c>
      <c r="D317" s="73">
        <f t="shared" si="30"/>
        <v>0</v>
      </c>
      <c r="E317" s="73">
        <f t="shared" si="33"/>
        <v>0</v>
      </c>
      <c r="F317" s="73">
        <f t="shared" si="34"/>
        <v>0</v>
      </c>
      <c r="G317" s="73">
        <f t="shared" si="31"/>
        <v>0</v>
      </c>
    </row>
    <row r="318" spans="1:7">
      <c r="A318" s="79">
        <v>294</v>
      </c>
      <c r="C318" s="73">
        <f t="shared" si="32"/>
        <v>0</v>
      </c>
      <c r="D318" s="73">
        <f t="shared" si="30"/>
        <v>0</v>
      </c>
      <c r="E318" s="73">
        <f t="shared" si="33"/>
        <v>0</v>
      </c>
      <c r="F318" s="73">
        <f t="shared" si="34"/>
        <v>0</v>
      </c>
      <c r="G318" s="73">
        <f t="shared" si="31"/>
        <v>0</v>
      </c>
    </row>
    <row r="319" spans="1:7">
      <c r="A319" s="79">
        <v>295</v>
      </c>
      <c r="C319" s="73">
        <f t="shared" si="32"/>
        <v>0</v>
      </c>
      <c r="D319" s="73">
        <f t="shared" si="30"/>
        <v>0</v>
      </c>
      <c r="E319" s="73">
        <f t="shared" si="33"/>
        <v>0</v>
      </c>
      <c r="F319" s="73">
        <f t="shared" si="34"/>
        <v>0</v>
      </c>
      <c r="G319" s="73">
        <f t="shared" si="31"/>
        <v>0</v>
      </c>
    </row>
    <row r="320" spans="1:7">
      <c r="A320" s="79">
        <v>296</v>
      </c>
      <c r="C320" s="73">
        <f t="shared" si="32"/>
        <v>0</v>
      </c>
      <c r="D320" s="73">
        <f t="shared" si="30"/>
        <v>0</v>
      </c>
      <c r="E320" s="73">
        <f t="shared" si="33"/>
        <v>0</v>
      </c>
      <c r="F320" s="73">
        <f t="shared" si="34"/>
        <v>0</v>
      </c>
      <c r="G320" s="73">
        <f t="shared" si="31"/>
        <v>0</v>
      </c>
    </row>
    <row r="321" spans="1:7">
      <c r="A321" s="79">
        <v>297</v>
      </c>
      <c r="C321" s="73">
        <f t="shared" si="32"/>
        <v>0</v>
      </c>
      <c r="D321" s="73">
        <f t="shared" si="30"/>
        <v>0</v>
      </c>
      <c r="E321" s="73">
        <f t="shared" si="33"/>
        <v>0</v>
      </c>
      <c r="F321" s="73">
        <f t="shared" si="34"/>
        <v>0</v>
      </c>
      <c r="G321" s="73">
        <f t="shared" si="31"/>
        <v>0</v>
      </c>
    </row>
    <row r="322" spans="1:7">
      <c r="A322" s="79">
        <v>298</v>
      </c>
      <c r="C322" s="73">
        <f t="shared" si="32"/>
        <v>0</v>
      </c>
      <c r="D322" s="73">
        <f t="shared" si="30"/>
        <v>0</v>
      </c>
      <c r="E322" s="73">
        <f t="shared" si="33"/>
        <v>0</v>
      </c>
      <c r="F322" s="73">
        <f t="shared" si="34"/>
        <v>0</v>
      </c>
      <c r="G322" s="73">
        <f t="shared" si="31"/>
        <v>0</v>
      </c>
    </row>
    <row r="323" spans="1:7">
      <c r="A323" s="79">
        <v>299</v>
      </c>
      <c r="C323" s="73">
        <f t="shared" si="32"/>
        <v>0</v>
      </c>
      <c r="D323" s="73">
        <f t="shared" si="30"/>
        <v>0</v>
      </c>
      <c r="E323" s="73">
        <f t="shared" si="33"/>
        <v>0</v>
      </c>
      <c r="F323" s="73">
        <f t="shared" si="34"/>
        <v>0</v>
      </c>
      <c r="G323" s="73">
        <f t="shared" si="31"/>
        <v>0</v>
      </c>
    </row>
    <row r="324" spans="1:7">
      <c r="A324" s="79">
        <v>300</v>
      </c>
      <c r="C324" s="73">
        <f t="shared" si="32"/>
        <v>0</v>
      </c>
      <c r="D324" s="73">
        <f t="shared" si="30"/>
        <v>0</v>
      </c>
      <c r="E324" s="73">
        <f t="shared" si="33"/>
        <v>0</v>
      </c>
      <c r="F324" s="73">
        <f t="shared" si="34"/>
        <v>0</v>
      </c>
      <c r="G324" s="73">
        <f t="shared" si="31"/>
        <v>0</v>
      </c>
    </row>
    <row r="325" spans="1:7">
      <c r="A325" s="79">
        <v>301</v>
      </c>
      <c r="C325" s="73">
        <f t="shared" si="32"/>
        <v>0</v>
      </c>
      <c r="D325" s="73">
        <f t="shared" si="30"/>
        <v>0</v>
      </c>
      <c r="E325" s="73">
        <f t="shared" si="33"/>
        <v>0</v>
      </c>
      <c r="F325" s="73">
        <f t="shared" si="34"/>
        <v>0</v>
      </c>
      <c r="G325" s="73">
        <f t="shared" si="31"/>
        <v>0</v>
      </c>
    </row>
    <row r="326" spans="1:7">
      <c r="A326" s="79">
        <v>302</v>
      </c>
      <c r="C326" s="73">
        <f t="shared" si="32"/>
        <v>0</v>
      </c>
      <c r="D326" s="73">
        <f t="shared" si="30"/>
        <v>0</v>
      </c>
      <c r="E326" s="73">
        <f t="shared" si="33"/>
        <v>0</v>
      </c>
      <c r="F326" s="73">
        <f t="shared" si="34"/>
        <v>0</v>
      </c>
      <c r="G326" s="73">
        <f t="shared" si="31"/>
        <v>0</v>
      </c>
    </row>
    <row r="327" spans="1:7">
      <c r="A327" s="79">
        <v>303</v>
      </c>
      <c r="C327" s="73">
        <f t="shared" si="32"/>
        <v>0</v>
      </c>
      <c r="D327" s="73">
        <f t="shared" si="30"/>
        <v>0</v>
      </c>
      <c r="E327" s="73">
        <f t="shared" si="33"/>
        <v>0</v>
      </c>
      <c r="F327" s="73">
        <f t="shared" si="34"/>
        <v>0</v>
      </c>
      <c r="G327" s="73">
        <f t="shared" si="31"/>
        <v>0</v>
      </c>
    </row>
    <row r="328" spans="1:7">
      <c r="A328" s="79">
        <v>304</v>
      </c>
      <c r="C328" s="73">
        <f t="shared" si="32"/>
        <v>0</v>
      </c>
      <c r="D328" s="73">
        <f t="shared" si="30"/>
        <v>0</v>
      </c>
      <c r="E328" s="73">
        <f t="shared" si="33"/>
        <v>0</v>
      </c>
      <c r="F328" s="73">
        <f t="shared" si="34"/>
        <v>0</v>
      </c>
      <c r="G328" s="73">
        <f t="shared" si="31"/>
        <v>0</v>
      </c>
    </row>
    <row r="329" spans="1:7">
      <c r="A329" s="79">
        <v>305</v>
      </c>
      <c r="C329" s="73">
        <f t="shared" si="32"/>
        <v>0</v>
      </c>
      <c r="D329" s="73">
        <f t="shared" si="30"/>
        <v>0</v>
      </c>
      <c r="E329" s="73">
        <f t="shared" si="33"/>
        <v>0</v>
      </c>
      <c r="F329" s="73">
        <f t="shared" si="34"/>
        <v>0</v>
      </c>
      <c r="G329" s="73">
        <f t="shared" si="31"/>
        <v>0</v>
      </c>
    </row>
    <row r="330" spans="1:7">
      <c r="A330" s="79">
        <v>306</v>
      </c>
      <c r="C330" s="73">
        <f t="shared" si="32"/>
        <v>0</v>
      </c>
      <c r="D330" s="73">
        <f t="shared" si="30"/>
        <v>0</v>
      </c>
      <c r="E330" s="73">
        <f t="shared" si="33"/>
        <v>0</v>
      </c>
      <c r="F330" s="73">
        <f t="shared" si="34"/>
        <v>0</v>
      </c>
      <c r="G330" s="73">
        <f t="shared" si="31"/>
        <v>0</v>
      </c>
    </row>
    <row r="331" spans="1:7">
      <c r="A331" s="79">
        <v>307</v>
      </c>
      <c r="C331" s="73">
        <f t="shared" si="32"/>
        <v>0</v>
      </c>
      <c r="D331" s="73">
        <f t="shared" si="30"/>
        <v>0</v>
      </c>
      <c r="E331" s="73">
        <f t="shared" si="33"/>
        <v>0</v>
      </c>
      <c r="F331" s="73">
        <f t="shared" si="34"/>
        <v>0</v>
      </c>
      <c r="G331" s="73">
        <f t="shared" si="31"/>
        <v>0</v>
      </c>
    </row>
    <row r="332" spans="1:7">
      <c r="A332" s="79">
        <v>308</v>
      </c>
      <c r="C332" s="73">
        <f t="shared" si="32"/>
        <v>0</v>
      </c>
      <c r="D332" s="73">
        <f t="shared" si="30"/>
        <v>0</v>
      </c>
      <c r="E332" s="73">
        <f t="shared" si="33"/>
        <v>0</v>
      </c>
      <c r="F332" s="73">
        <f t="shared" si="34"/>
        <v>0</v>
      </c>
      <c r="G332" s="73">
        <f t="shared" si="31"/>
        <v>0</v>
      </c>
    </row>
    <row r="333" spans="1:7">
      <c r="A333" s="79">
        <v>309</v>
      </c>
      <c r="C333" s="73">
        <f t="shared" si="32"/>
        <v>0</v>
      </c>
      <c r="D333" s="73">
        <f t="shared" si="30"/>
        <v>0</v>
      </c>
      <c r="E333" s="73">
        <f t="shared" si="33"/>
        <v>0</v>
      </c>
      <c r="F333" s="73">
        <f t="shared" si="34"/>
        <v>0</v>
      </c>
      <c r="G333" s="73">
        <f t="shared" si="31"/>
        <v>0</v>
      </c>
    </row>
    <row r="334" spans="1:7">
      <c r="A334" s="79">
        <v>310</v>
      </c>
      <c r="C334" s="73">
        <f t="shared" si="32"/>
        <v>0</v>
      </c>
      <c r="D334" s="73">
        <f t="shared" si="30"/>
        <v>0</v>
      </c>
      <c r="E334" s="73">
        <f t="shared" si="33"/>
        <v>0</v>
      </c>
      <c r="F334" s="73">
        <f t="shared" si="34"/>
        <v>0</v>
      </c>
      <c r="G334" s="73">
        <f t="shared" si="31"/>
        <v>0</v>
      </c>
    </row>
    <row r="335" spans="1:7">
      <c r="A335" s="79">
        <v>311</v>
      </c>
      <c r="C335" s="73">
        <f t="shared" si="32"/>
        <v>0</v>
      </c>
      <c r="D335" s="73">
        <f t="shared" si="30"/>
        <v>0</v>
      </c>
      <c r="E335" s="73">
        <f t="shared" si="33"/>
        <v>0</v>
      </c>
      <c r="F335" s="73">
        <f t="shared" si="34"/>
        <v>0</v>
      </c>
      <c r="G335" s="73">
        <f t="shared" si="31"/>
        <v>0</v>
      </c>
    </row>
    <row r="336" spans="1:7">
      <c r="A336" s="79">
        <v>312</v>
      </c>
      <c r="C336" s="73">
        <f t="shared" si="32"/>
        <v>0</v>
      </c>
      <c r="D336" s="73">
        <f t="shared" si="30"/>
        <v>0</v>
      </c>
      <c r="E336" s="73">
        <f t="shared" si="33"/>
        <v>0</v>
      </c>
      <c r="F336" s="73">
        <f t="shared" si="34"/>
        <v>0</v>
      </c>
      <c r="G336" s="73">
        <f t="shared" si="31"/>
        <v>0</v>
      </c>
    </row>
    <row r="337" spans="1:7">
      <c r="A337" s="79">
        <v>313</v>
      </c>
      <c r="C337" s="73">
        <f t="shared" si="32"/>
        <v>0</v>
      </c>
      <c r="D337" s="73">
        <f t="shared" si="30"/>
        <v>0</v>
      </c>
      <c r="E337" s="73">
        <f t="shared" si="33"/>
        <v>0</v>
      </c>
      <c r="F337" s="73">
        <f t="shared" si="34"/>
        <v>0</v>
      </c>
      <c r="G337" s="73">
        <f t="shared" si="31"/>
        <v>0</v>
      </c>
    </row>
    <row r="338" spans="1:7">
      <c r="A338" s="79">
        <v>314</v>
      </c>
      <c r="C338" s="73">
        <f t="shared" si="32"/>
        <v>0</v>
      </c>
      <c r="D338" s="73">
        <f t="shared" si="30"/>
        <v>0</v>
      </c>
      <c r="E338" s="73">
        <f t="shared" si="33"/>
        <v>0</v>
      </c>
      <c r="F338" s="73">
        <f t="shared" si="34"/>
        <v>0</v>
      </c>
      <c r="G338" s="73">
        <f t="shared" si="31"/>
        <v>0</v>
      </c>
    </row>
    <row r="339" spans="1:7">
      <c r="A339" s="79">
        <v>315</v>
      </c>
      <c r="C339" s="73">
        <f t="shared" si="32"/>
        <v>0</v>
      </c>
      <c r="D339" s="73">
        <f t="shared" si="30"/>
        <v>0</v>
      </c>
      <c r="E339" s="73">
        <f t="shared" si="33"/>
        <v>0</v>
      </c>
      <c r="F339" s="73">
        <f t="shared" si="34"/>
        <v>0</v>
      </c>
      <c r="G339" s="73">
        <f t="shared" si="31"/>
        <v>0</v>
      </c>
    </row>
    <row r="340" spans="1:7">
      <c r="A340" s="79">
        <v>316</v>
      </c>
      <c r="C340" s="73">
        <f t="shared" si="32"/>
        <v>0</v>
      </c>
      <c r="D340" s="73">
        <f t="shared" si="30"/>
        <v>0</v>
      </c>
      <c r="E340" s="73">
        <f t="shared" si="33"/>
        <v>0</v>
      </c>
      <c r="F340" s="73">
        <f t="shared" si="34"/>
        <v>0</v>
      </c>
      <c r="G340" s="73">
        <f t="shared" si="31"/>
        <v>0</v>
      </c>
    </row>
    <row r="341" spans="1:7">
      <c r="A341" s="79">
        <v>317</v>
      </c>
      <c r="C341" s="73">
        <f t="shared" si="32"/>
        <v>0</v>
      </c>
      <c r="D341" s="73">
        <f t="shared" si="30"/>
        <v>0</v>
      </c>
      <c r="E341" s="73">
        <f t="shared" si="33"/>
        <v>0</v>
      </c>
      <c r="F341" s="73">
        <f t="shared" si="34"/>
        <v>0</v>
      </c>
      <c r="G341" s="73">
        <f t="shared" si="31"/>
        <v>0</v>
      </c>
    </row>
    <row r="342" spans="1:7">
      <c r="A342" s="79">
        <v>318</v>
      </c>
      <c r="C342" s="73">
        <f t="shared" si="32"/>
        <v>0</v>
      </c>
      <c r="D342" s="73">
        <f t="shared" si="30"/>
        <v>0</v>
      </c>
      <c r="E342" s="73">
        <f t="shared" si="33"/>
        <v>0</v>
      </c>
      <c r="F342" s="73">
        <f t="shared" si="34"/>
        <v>0</v>
      </c>
      <c r="G342" s="73">
        <f t="shared" si="31"/>
        <v>0</v>
      </c>
    </row>
    <row r="343" spans="1:7">
      <c r="A343" s="79">
        <v>319</v>
      </c>
      <c r="C343" s="73">
        <f t="shared" si="32"/>
        <v>0</v>
      </c>
      <c r="D343" s="73">
        <f t="shared" si="30"/>
        <v>0</v>
      </c>
      <c r="E343" s="73">
        <f t="shared" si="33"/>
        <v>0</v>
      </c>
      <c r="F343" s="73">
        <f t="shared" si="34"/>
        <v>0</v>
      </c>
      <c r="G343" s="73">
        <f t="shared" si="31"/>
        <v>0</v>
      </c>
    </row>
    <row r="344" spans="1:7">
      <c r="A344" s="79">
        <v>320</v>
      </c>
      <c r="C344" s="73">
        <f t="shared" si="32"/>
        <v>0</v>
      </c>
      <c r="D344" s="73">
        <f t="shared" si="30"/>
        <v>0</v>
      </c>
      <c r="E344" s="73">
        <f t="shared" si="33"/>
        <v>0</v>
      </c>
      <c r="F344" s="73">
        <f t="shared" si="34"/>
        <v>0</v>
      </c>
      <c r="G344" s="73">
        <f t="shared" si="31"/>
        <v>0</v>
      </c>
    </row>
    <row r="345" spans="1:7">
      <c r="A345" s="79">
        <v>321</v>
      </c>
      <c r="C345" s="73">
        <f t="shared" si="32"/>
        <v>0</v>
      </c>
      <c r="D345" s="73">
        <f t="shared" si="30"/>
        <v>0</v>
      </c>
      <c r="E345" s="73">
        <f t="shared" si="33"/>
        <v>0</v>
      </c>
      <c r="F345" s="73">
        <f t="shared" si="34"/>
        <v>0</v>
      </c>
      <c r="G345" s="73">
        <f t="shared" si="31"/>
        <v>0</v>
      </c>
    </row>
    <row r="346" spans="1:7">
      <c r="A346" s="79">
        <v>322</v>
      </c>
      <c r="C346" s="73">
        <f t="shared" si="32"/>
        <v>0</v>
      </c>
      <c r="D346" s="73">
        <f t="shared" ref="D346:D409" si="35">IF(A346&lt;=$C$10*$C$9,$C$11,IF(C346&gt;0,C346,0))</f>
        <v>0</v>
      </c>
      <c r="E346" s="73">
        <f t="shared" si="33"/>
        <v>0</v>
      </c>
      <c r="F346" s="73">
        <f t="shared" si="34"/>
        <v>0</v>
      </c>
      <c r="G346" s="73">
        <f t="shared" ref="G346:G409" si="36">IF(AND(A346&gt;$C$9*$C$10,G345&lt;=0),0,ROUND(C346-F346,2))</f>
        <v>0</v>
      </c>
    </row>
    <row r="347" spans="1:7">
      <c r="A347" s="79">
        <v>323</v>
      </c>
      <c r="C347" s="73">
        <f t="shared" si="32"/>
        <v>0</v>
      </c>
      <c r="D347" s="73">
        <f t="shared" si="35"/>
        <v>0</v>
      </c>
      <c r="E347" s="73">
        <f t="shared" si="33"/>
        <v>0</v>
      </c>
      <c r="F347" s="73">
        <f t="shared" si="34"/>
        <v>0</v>
      </c>
      <c r="G347" s="73">
        <f t="shared" si="36"/>
        <v>0</v>
      </c>
    </row>
    <row r="348" spans="1:7">
      <c r="A348" s="79">
        <v>324</v>
      </c>
      <c r="C348" s="73">
        <f t="shared" si="32"/>
        <v>0</v>
      </c>
      <c r="D348" s="73">
        <f t="shared" si="35"/>
        <v>0</v>
      </c>
      <c r="E348" s="73">
        <f t="shared" si="33"/>
        <v>0</v>
      </c>
      <c r="F348" s="73">
        <f t="shared" si="34"/>
        <v>0</v>
      </c>
      <c r="G348" s="73">
        <f t="shared" si="36"/>
        <v>0</v>
      </c>
    </row>
    <row r="349" spans="1:7">
      <c r="A349" s="79">
        <v>325</v>
      </c>
      <c r="C349" s="73">
        <f t="shared" si="32"/>
        <v>0</v>
      </c>
      <c r="D349" s="73">
        <f t="shared" si="35"/>
        <v>0</v>
      </c>
      <c r="E349" s="73">
        <f t="shared" si="33"/>
        <v>0</v>
      </c>
      <c r="F349" s="73">
        <f t="shared" si="34"/>
        <v>0</v>
      </c>
      <c r="G349" s="73">
        <f t="shared" si="36"/>
        <v>0</v>
      </c>
    </row>
    <row r="350" spans="1:7">
      <c r="A350" s="79">
        <v>326</v>
      </c>
      <c r="C350" s="73">
        <f t="shared" si="32"/>
        <v>0</v>
      </c>
      <c r="D350" s="73">
        <f t="shared" si="35"/>
        <v>0</v>
      </c>
      <c r="E350" s="73">
        <f t="shared" si="33"/>
        <v>0</v>
      </c>
      <c r="F350" s="73">
        <f t="shared" si="34"/>
        <v>0</v>
      </c>
      <c r="G350" s="73">
        <f t="shared" si="36"/>
        <v>0</v>
      </c>
    </row>
    <row r="351" spans="1:7">
      <c r="A351" s="79">
        <v>327</v>
      </c>
      <c r="C351" s="73">
        <f t="shared" si="32"/>
        <v>0</v>
      </c>
      <c r="D351" s="73">
        <f t="shared" si="35"/>
        <v>0</v>
      </c>
      <c r="E351" s="73">
        <f t="shared" si="33"/>
        <v>0</v>
      </c>
      <c r="F351" s="73">
        <f t="shared" si="34"/>
        <v>0</v>
      </c>
      <c r="G351" s="73">
        <f t="shared" si="36"/>
        <v>0</v>
      </c>
    </row>
    <row r="352" spans="1:7">
      <c r="A352" s="79">
        <v>328</v>
      </c>
      <c r="C352" s="73">
        <f t="shared" si="32"/>
        <v>0</v>
      </c>
      <c r="D352" s="73">
        <f t="shared" si="35"/>
        <v>0</v>
      </c>
      <c r="E352" s="73">
        <f t="shared" si="33"/>
        <v>0</v>
      </c>
      <c r="F352" s="73">
        <f t="shared" si="34"/>
        <v>0</v>
      </c>
      <c r="G352" s="73">
        <f t="shared" si="36"/>
        <v>0</v>
      </c>
    </row>
    <row r="353" spans="1:7">
      <c r="A353" s="79">
        <v>329</v>
      </c>
      <c r="C353" s="73">
        <f t="shared" si="32"/>
        <v>0</v>
      </c>
      <c r="D353" s="73">
        <f t="shared" si="35"/>
        <v>0</v>
      </c>
      <c r="E353" s="73">
        <f t="shared" si="33"/>
        <v>0</v>
      </c>
      <c r="F353" s="73">
        <f t="shared" si="34"/>
        <v>0</v>
      </c>
      <c r="G353" s="73">
        <f t="shared" si="36"/>
        <v>0</v>
      </c>
    </row>
    <row r="354" spans="1:7">
      <c r="A354" s="79">
        <v>330</v>
      </c>
      <c r="C354" s="73">
        <f t="shared" si="32"/>
        <v>0</v>
      </c>
      <c r="D354" s="73">
        <f t="shared" si="35"/>
        <v>0</v>
      </c>
      <c r="E354" s="73">
        <f t="shared" si="33"/>
        <v>0</v>
      </c>
      <c r="F354" s="73">
        <f t="shared" si="34"/>
        <v>0</v>
      </c>
      <c r="G354" s="73">
        <f t="shared" si="36"/>
        <v>0</v>
      </c>
    </row>
    <row r="355" spans="1:7">
      <c r="A355" s="79">
        <v>331</v>
      </c>
      <c r="C355" s="73">
        <f t="shared" si="32"/>
        <v>0</v>
      </c>
      <c r="D355" s="73">
        <f t="shared" si="35"/>
        <v>0</v>
      </c>
      <c r="E355" s="73">
        <f t="shared" si="33"/>
        <v>0</v>
      </c>
      <c r="F355" s="73">
        <f t="shared" si="34"/>
        <v>0</v>
      </c>
      <c r="G355" s="73">
        <f t="shared" si="36"/>
        <v>0</v>
      </c>
    </row>
    <row r="356" spans="1:7">
      <c r="A356" s="79">
        <v>332</v>
      </c>
      <c r="C356" s="73">
        <f t="shared" si="32"/>
        <v>0</v>
      </c>
      <c r="D356" s="73">
        <f t="shared" si="35"/>
        <v>0</v>
      </c>
      <c r="E356" s="73">
        <f t="shared" si="33"/>
        <v>0</v>
      </c>
      <c r="F356" s="73">
        <f t="shared" si="34"/>
        <v>0</v>
      </c>
      <c r="G356" s="73">
        <f t="shared" si="36"/>
        <v>0</v>
      </c>
    </row>
    <row r="357" spans="1:7">
      <c r="A357" s="79">
        <v>333</v>
      </c>
      <c r="C357" s="73">
        <f t="shared" si="32"/>
        <v>0</v>
      </c>
      <c r="D357" s="73">
        <f t="shared" si="35"/>
        <v>0</v>
      </c>
      <c r="E357" s="73">
        <f t="shared" si="33"/>
        <v>0</v>
      </c>
      <c r="F357" s="73">
        <f t="shared" si="34"/>
        <v>0</v>
      </c>
      <c r="G357" s="73">
        <f t="shared" si="36"/>
        <v>0</v>
      </c>
    </row>
    <row r="358" spans="1:7">
      <c r="A358" s="79">
        <v>334</v>
      </c>
      <c r="C358" s="73">
        <f t="shared" si="32"/>
        <v>0</v>
      </c>
      <c r="D358" s="73">
        <f t="shared" si="35"/>
        <v>0</v>
      </c>
      <c r="E358" s="73">
        <f t="shared" si="33"/>
        <v>0</v>
      </c>
      <c r="F358" s="73">
        <f t="shared" si="34"/>
        <v>0</v>
      </c>
      <c r="G358" s="73">
        <f t="shared" si="36"/>
        <v>0</v>
      </c>
    </row>
    <row r="359" spans="1:7">
      <c r="A359" s="79">
        <v>335</v>
      </c>
      <c r="C359" s="73">
        <f t="shared" si="32"/>
        <v>0</v>
      </c>
      <c r="D359" s="73">
        <f t="shared" si="35"/>
        <v>0</v>
      </c>
      <c r="E359" s="73">
        <f t="shared" si="33"/>
        <v>0</v>
      </c>
      <c r="F359" s="73">
        <f t="shared" si="34"/>
        <v>0</v>
      </c>
      <c r="G359" s="73">
        <f t="shared" si="36"/>
        <v>0</v>
      </c>
    </row>
    <row r="360" spans="1:7">
      <c r="A360" s="79">
        <v>336</v>
      </c>
      <c r="C360" s="73">
        <f t="shared" si="32"/>
        <v>0</v>
      </c>
      <c r="D360" s="73">
        <f t="shared" si="35"/>
        <v>0</v>
      </c>
      <c r="E360" s="73">
        <f t="shared" si="33"/>
        <v>0</v>
      </c>
      <c r="F360" s="73">
        <f t="shared" si="34"/>
        <v>0</v>
      </c>
      <c r="G360" s="73">
        <f t="shared" si="36"/>
        <v>0</v>
      </c>
    </row>
    <row r="361" spans="1:7">
      <c r="A361" s="79">
        <v>337</v>
      </c>
      <c r="C361" s="73">
        <f t="shared" si="32"/>
        <v>0</v>
      </c>
      <c r="D361" s="73">
        <f t="shared" si="35"/>
        <v>0</v>
      </c>
      <c r="E361" s="73">
        <f t="shared" si="33"/>
        <v>0</v>
      </c>
      <c r="F361" s="73">
        <f t="shared" si="34"/>
        <v>0</v>
      </c>
      <c r="G361" s="73">
        <f t="shared" si="36"/>
        <v>0</v>
      </c>
    </row>
    <row r="362" spans="1:7">
      <c r="A362" s="79">
        <v>338</v>
      </c>
      <c r="C362" s="73">
        <f t="shared" si="32"/>
        <v>0</v>
      </c>
      <c r="D362" s="73">
        <f t="shared" si="35"/>
        <v>0</v>
      </c>
      <c r="E362" s="73">
        <f t="shared" si="33"/>
        <v>0</v>
      </c>
      <c r="F362" s="73">
        <f t="shared" si="34"/>
        <v>0</v>
      </c>
      <c r="G362" s="73">
        <f t="shared" si="36"/>
        <v>0</v>
      </c>
    </row>
    <row r="363" spans="1:7">
      <c r="A363" s="79">
        <v>339</v>
      </c>
      <c r="C363" s="73">
        <f t="shared" si="32"/>
        <v>0</v>
      </c>
      <c r="D363" s="73">
        <f t="shared" si="35"/>
        <v>0</v>
      </c>
      <c r="E363" s="73">
        <f t="shared" si="33"/>
        <v>0</v>
      </c>
      <c r="F363" s="73">
        <f t="shared" si="34"/>
        <v>0</v>
      </c>
      <c r="G363" s="73">
        <f t="shared" si="36"/>
        <v>0</v>
      </c>
    </row>
    <row r="364" spans="1:7">
      <c r="A364" s="79">
        <v>340</v>
      </c>
      <c r="C364" s="73">
        <f t="shared" si="32"/>
        <v>0</v>
      </c>
      <c r="D364" s="73">
        <f t="shared" si="35"/>
        <v>0</v>
      </c>
      <c r="E364" s="73">
        <f t="shared" si="33"/>
        <v>0</v>
      </c>
      <c r="F364" s="73">
        <f t="shared" si="34"/>
        <v>0</v>
      </c>
      <c r="G364" s="73">
        <f t="shared" si="36"/>
        <v>0</v>
      </c>
    </row>
    <row r="365" spans="1:7">
      <c r="A365" s="79">
        <v>341</v>
      </c>
      <c r="C365" s="73">
        <f t="shared" si="32"/>
        <v>0</v>
      </c>
      <c r="D365" s="73">
        <f t="shared" si="35"/>
        <v>0</v>
      </c>
      <c r="E365" s="73">
        <f t="shared" si="33"/>
        <v>0</v>
      </c>
      <c r="F365" s="73">
        <f t="shared" si="34"/>
        <v>0</v>
      </c>
      <c r="G365" s="73">
        <f t="shared" si="36"/>
        <v>0</v>
      </c>
    </row>
    <row r="366" spans="1:7">
      <c r="A366" s="79">
        <v>342</v>
      </c>
      <c r="C366" s="73">
        <f t="shared" si="32"/>
        <v>0</v>
      </c>
      <c r="D366" s="73">
        <f t="shared" si="35"/>
        <v>0</v>
      </c>
      <c r="E366" s="73">
        <f t="shared" si="33"/>
        <v>0</v>
      </c>
      <c r="F366" s="73">
        <f t="shared" si="34"/>
        <v>0</v>
      </c>
      <c r="G366" s="73">
        <f t="shared" si="36"/>
        <v>0</v>
      </c>
    </row>
    <row r="367" spans="1:7">
      <c r="A367" s="79">
        <v>343</v>
      </c>
      <c r="C367" s="73">
        <f t="shared" si="32"/>
        <v>0</v>
      </c>
      <c r="D367" s="73">
        <f t="shared" si="35"/>
        <v>0</v>
      </c>
      <c r="E367" s="73">
        <f t="shared" si="33"/>
        <v>0</v>
      </c>
      <c r="F367" s="73">
        <f t="shared" si="34"/>
        <v>0</v>
      </c>
      <c r="G367" s="73">
        <f t="shared" si="36"/>
        <v>0</v>
      </c>
    </row>
    <row r="368" spans="1:7">
      <c r="A368" s="79">
        <v>344</v>
      </c>
      <c r="C368" s="73">
        <f t="shared" si="32"/>
        <v>0</v>
      </c>
      <c r="D368" s="73">
        <f t="shared" si="35"/>
        <v>0</v>
      </c>
      <c r="E368" s="73">
        <f t="shared" si="33"/>
        <v>0</v>
      </c>
      <c r="F368" s="73">
        <f t="shared" si="34"/>
        <v>0</v>
      </c>
      <c r="G368" s="73">
        <f t="shared" si="36"/>
        <v>0</v>
      </c>
    </row>
    <row r="369" spans="1:7">
      <c r="A369" s="79">
        <v>345</v>
      </c>
      <c r="C369" s="73">
        <f t="shared" si="32"/>
        <v>0</v>
      </c>
      <c r="D369" s="73">
        <f t="shared" si="35"/>
        <v>0</v>
      </c>
      <c r="E369" s="73">
        <f t="shared" si="33"/>
        <v>0</v>
      </c>
      <c r="F369" s="73">
        <f t="shared" si="34"/>
        <v>0</v>
      </c>
      <c r="G369" s="73">
        <f t="shared" si="36"/>
        <v>0</v>
      </c>
    </row>
    <row r="370" spans="1:7">
      <c r="A370" s="79">
        <v>346</v>
      </c>
      <c r="C370" s="73">
        <f t="shared" si="32"/>
        <v>0</v>
      </c>
      <c r="D370" s="73">
        <f t="shared" si="35"/>
        <v>0</v>
      </c>
      <c r="E370" s="73">
        <f t="shared" si="33"/>
        <v>0</v>
      </c>
      <c r="F370" s="73">
        <f t="shared" si="34"/>
        <v>0</v>
      </c>
      <c r="G370" s="73">
        <f t="shared" si="36"/>
        <v>0</v>
      </c>
    </row>
    <row r="371" spans="1:7">
      <c r="A371" s="79">
        <v>347</v>
      </c>
      <c r="C371" s="73">
        <f t="shared" si="32"/>
        <v>0</v>
      </c>
      <c r="D371" s="73">
        <f t="shared" si="35"/>
        <v>0</v>
      </c>
      <c r="E371" s="73">
        <f t="shared" si="33"/>
        <v>0</v>
      </c>
      <c r="F371" s="73">
        <f t="shared" si="34"/>
        <v>0</v>
      </c>
      <c r="G371" s="73">
        <f t="shared" si="36"/>
        <v>0</v>
      </c>
    </row>
    <row r="372" spans="1:7">
      <c r="A372" s="79">
        <v>348</v>
      </c>
      <c r="C372" s="73">
        <f t="shared" si="32"/>
        <v>0</v>
      </c>
      <c r="D372" s="73">
        <f t="shared" si="35"/>
        <v>0</v>
      </c>
      <c r="E372" s="73">
        <f t="shared" si="33"/>
        <v>0</v>
      </c>
      <c r="F372" s="73">
        <f t="shared" si="34"/>
        <v>0</v>
      </c>
      <c r="G372" s="73">
        <f t="shared" si="36"/>
        <v>0</v>
      </c>
    </row>
    <row r="373" spans="1:7">
      <c r="A373" s="79">
        <v>349</v>
      </c>
      <c r="C373" s="73">
        <f t="shared" si="32"/>
        <v>0</v>
      </c>
      <c r="D373" s="73">
        <f t="shared" si="35"/>
        <v>0</v>
      </c>
      <c r="E373" s="73">
        <f t="shared" si="33"/>
        <v>0</v>
      </c>
      <c r="F373" s="73">
        <f t="shared" si="34"/>
        <v>0</v>
      </c>
      <c r="G373" s="73">
        <f t="shared" si="36"/>
        <v>0</v>
      </c>
    </row>
    <row r="374" spans="1:7">
      <c r="A374" s="79">
        <v>350</v>
      </c>
      <c r="C374" s="73">
        <f t="shared" si="32"/>
        <v>0</v>
      </c>
      <c r="D374" s="73">
        <f t="shared" si="35"/>
        <v>0</v>
      </c>
      <c r="E374" s="73">
        <f t="shared" si="33"/>
        <v>0</v>
      </c>
      <c r="F374" s="73">
        <f t="shared" si="34"/>
        <v>0</v>
      </c>
      <c r="G374" s="73">
        <f t="shared" si="36"/>
        <v>0</v>
      </c>
    </row>
    <row r="375" spans="1:7">
      <c r="A375" s="79">
        <v>351</v>
      </c>
      <c r="C375" s="73">
        <f t="shared" si="32"/>
        <v>0</v>
      </c>
      <c r="D375" s="73">
        <f t="shared" si="35"/>
        <v>0</v>
      </c>
      <c r="E375" s="73">
        <f t="shared" si="33"/>
        <v>0</v>
      </c>
      <c r="F375" s="73">
        <f t="shared" si="34"/>
        <v>0</v>
      </c>
      <c r="G375" s="73">
        <f t="shared" si="36"/>
        <v>0</v>
      </c>
    </row>
    <row r="376" spans="1:7">
      <c r="A376" s="79">
        <v>352</v>
      </c>
      <c r="C376" s="73">
        <f t="shared" si="32"/>
        <v>0</v>
      </c>
      <c r="D376" s="73">
        <f t="shared" si="35"/>
        <v>0</v>
      </c>
      <c r="E376" s="73">
        <f t="shared" si="33"/>
        <v>0</v>
      </c>
      <c r="F376" s="73">
        <f t="shared" si="34"/>
        <v>0</v>
      </c>
      <c r="G376" s="73">
        <f t="shared" si="36"/>
        <v>0</v>
      </c>
    </row>
    <row r="377" spans="1:7">
      <c r="A377" s="79">
        <v>353</v>
      </c>
      <c r="C377" s="73">
        <f t="shared" ref="C377:C428" si="37">IF(G376&gt;0,+G376,0)</f>
        <v>0</v>
      </c>
      <c r="D377" s="73">
        <f t="shared" si="35"/>
        <v>0</v>
      </c>
      <c r="E377" s="73">
        <f t="shared" ref="E377:E428" si="38">IF(D377&gt;0,+C377*$C$8/$C$10,0)</f>
        <v>0</v>
      </c>
      <c r="F377" s="73">
        <f t="shared" ref="F377:F428" si="39">IF(D377&gt;0,+D377-E377,0)</f>
        <v>0</v>
      </c>
      <c r="G377" s="73">
        <f t="shared" si="36"/>
        <v>0</v>
      </c>
    </row>
    <row r="378" spans="1:7">
      <c r="A378" s="79">
        <v>354</v>
      </c>
      <c r="C378" s="73">
        <f t="shared" si="37"/>
        <v>0</v>
      </c>
      <c r="D378" s="73">
        <f t="shared" si="35"/>
        <v>0</v>
      </c>
      <c r="E378" s="73">
        <f t="shared" si="38"/>
        <v>0</v>
      </c>
      <c r="F378" s="73">
        <f t="shared" si="39"/>
        <v>0</v>
      </c>
      <c r="G378" s="73">
        <f t="shared" si="36"/>
        <v>0</v>
      </c>
    </row>
    <row r="379" spans="1:7">
      <c r="A379" s="79">
        <v>355</v>
      </c>
      <c r="C379" s="73">
        <f t="shared" si="37"/>
        <v>0</v>
      </c>
      <c r="D379" s="73">
        <f t="shared" si="35"/>
        <v>0</v>
      </c>
      <c r="E379" s="73">
        <f t="shared" si="38"/>
        <v>0</v>
      </c>
      <c r="F379" s="73">
        <f t="shared" si="39"/>
        <v>0</v>
      </c>
      <c r="G379" s="73">
        <f t="shared" si="36"/>
        <v>0</v>
      </c>
    </row>
    <row r="380" spans="1:7">
      <c r="A380" s="79">
        <v>356</v>
      </c>
      <c r="C380" s="73">
        <f t="shared" si="37"/>
        <v>0</v>
      </c>
      <c r="D380" s="73">
        <f t="shared" si="35"/>
        <v>0</v>
      </c>
      <c r="E380" s="73">
        <f t="shared" si="38"/>
        <v>0</v>
      </c>
      <c r="F380" s="73">
        <f t="shared" si="39"/>
        <v>0</v>
      </c>
      <c r="G380" s="73">
        <f t="shared" si="36"/>
        <v>0</v>
      </c>
    </row>
    <row r="381" spans="1:7">
      <c r="A381" s="79">
        <v>357</v>
      </c>
      <c r="C381" s="73">
        <f t="shared" si="37"/>
        <v>0</v>
      </c>
      <c r="D381" s="73">
        <f t="shared" si="35"/>
        <v>0</v>
      </c>
      <c r="E381" s="73">
        <f t="shared" si="38"/>
        <v>0</v>
      </c>
      <c r="F381" s="73">
        <f t="shared" si="39"/>
        <v>0</v>
      </c>
      <c r="G381" s="73">
        <f t="shared" si="36"/>
        <v>0</v>
      </c>
    </row>
    <row r="382" spans="1:7">
      <c r="A382" s="79">
        <v>358</v>
      </c>
      <c r="C382" s="73">
        <f t="shared" si="37"/>
        <v>0</v>
      </c>
      <c r="D382" s="73">
        <f t="shared" si="35"/>
        <v>0</v>
      </c>
      <c r="E382" s="73">
        <f t="shared" si="38"/>
        <v>0</v>
      </c>
      <c r="F382" s="73">
        <f t="shared" si="39"/>
        <v>0</v>
      </c>
      <c r="G382" s="73">
        <f t="shared" si="36"/>
        <v>0</v>
      </c>
    </row>
    <row r="383" spans="1:7">
      <c r="A383" s="79">
        <v>359</v>
      </c>
      <c r="C383" s="73">
        <f t="shared" si="37"/>
        <v>0</v>
      </c>
      <c r="D383" s="73">
        <f t="shared" si="35"/>
        <v>0</v>
      </c>
      <c r="E383" s="73">
        <f t="shared" si="38"/>
        <v>0</v>
      </c>
      <c r="F383" s="73">
        <f t="shared" si="39"/>
        <v>0</v>
      </c>
      <c r="G383" s="73">
        <f t="shared" si="36"/>
        <v>0</v>
      </c>
    </row>
    <row r="384" spans="1:7">
      <c r="A384" s="79">
        <v>360</v>
      </c>
      <c r="C384" s="73">
        <f t="shared" si="37"/>
        <v>0</v>
      </c>
      <c r="D384" s="73">
        <f t="shared" si="35"/>
        <v>0</v>
      </c>
      <c r="E384" s="73">
        <f t="shared" si="38"/>
        <v>0</v>
      </c>
      <c r="F384" s="73">
        <f t="shared" si="39"/>
        <v>0</v>
      </c>
      <c r="G384" s="73">
        <f t="shared" si="36"/>
        <v>0</v>
      </c>
    </row>
    <row r="385" spans="1:7">
      <c r="A385" s="79">
        <v>361</v>
      </c>
      <c r="C385" s="73">
        <f t="shared" si="37"/>
        <v>0</v>
      </c>
      <c r="D385" s="73">
        <f t="shared" si="35"/>
        <v>0</v>
      </c>
      <c r="E385" s="73">
        <f t="shared" si="38"/>
        <v>0</v>
      </c>
      <c r="F385" s="73">
        <f t="shared" si="39"/>
        <v>0</v>
      </c>
      <c r="G385" s="73">
        <f t="shared" si="36"/>
        <v>0</v>
      </c>
    </row>
    <row r="386" spans="1:7">
      <c r="A386" s="79">
        <v>362</v>
      </c>
      <c r="C386" s="73">
        <f t="shared" si="37"/>
        <v>0</v>
      </c>
      <c r="D386" s="73">
        <f t="shared" si="35"/>
        <v>0</v>
      </c>
      <c r="E386" s="73">
        <f t="shared" si="38"/>
        <v>0</v>
      </c>
      <c r="F386" s="73">
        <f t="shared" si="39"/>
        <v>0</v>
      </c>
      <c r="G386" s="73">
        <f t="shared" si="36"/>
        <v>0</v>
      </c>
    </row>
    <row r="387" spans="1:7">
      <c r="A387" s="79">
        <v>363</v>
      </c>
      <c r="C387" s="73">
        <f t="shared" si="37"/>
        <v>0</v>
      </c>
      <c r="D387" s="73">
        <f t="shared" si="35"/>
        <v>0</v>
      </c>
      <c r="E387" s="73">
        <f t="shared" si="38"/>
        <v>0</v>
      </c>
      <c r="F387" s="73">
        <f t="shared" si="39"/>
        <v>0</v>
      </c>
      <c r="G387" s="73">
        <f t="shared" si="36"/>
        <v>0</v>
      </c>
    </row>
    <row r="388" spans="1:7">
      <c r="A388" s="79">
        <v>364</v>
      </c>
      <c r="C388" s="73">
        <f t="shared" si="37"/>
        <v>0</v>
      </c>
      <c r="D388" s="73">
        <f t="shared" si="35"/>
        <v>0</v>
      </c>
      <c r="E388" s="73">
        <f t="shared" si="38"/>
        <v>0</v>
      </c>
      <c r="F388" s="73">
        <f t="shared" si="39"/>
        <v>0</v>
      </c>
      <c r="G388" s="73">
        <f t="shared" si="36"/>
        <v>0</v>
      </c>
    </row>
    <row r="389" spans="1:7">
      <c r="A389" s="79">
        <v>365</v>
      </c>
      <c r="C389" s="73">
        <f t="shared" si="37"/>
        <v>0</v>
      </c>
      <c r="D389" s="73">
        <f t="shared" si="35"/>
        <v>0</v>
      </c>
      <c r="E389" s="73">
        <f t="shared" si="38"/>
        <v>0</v>
      </c>
      <c r="F389" s="73">
        <f t="shared" si="39"/>
        <v>0</v>
      </c>
      <c r="G389" s="73">
        <f t="shared" si="36"/>
        <v>0</v>
      </c>
    </row>
    <row r="390" spans="1:7">
      <c r="A390" s="79">
        <v>366</v>
      </c>
      <c r="C390" s="73">
        <f t="shared" si="37"/>
        <v>0</v>
      </c>
      <c r="D390" s="73">
        <f t="shared" si="35"/>
        <v>0</v>
      </c>
      <c r="E390" s="73">
        <f t="shared" si="38"/>
        <v>0</v>
      </c>
      <c r="F390" s="73">
        <f t="shared" si="39"/>
        <v>0</v>
      </c>
      <c r="G390" s="73">
        <f t="shared" si="36"/>
        <v>0</v>
      </c>
    </row>
    <row r="391" spans="1:7">
      <c r="A391" s="79">
        <v>367</v>
      </c>
      <c r="C391" s="73">
        <f t="shared" si="37"/>
        <v>0</v>
      </c>
      <c r="D391" s="73">
        <f t="shared" si="35"/>
        <v>0</v>
      </c>
      <c r="E391" s="73">
        <f t="shared" si="38"/>
        <v>0</v>
      </c>
      <c r="F391" s="73">
        <f t="shared" si="39"/>
        <v>0</v>
      </c>
      <c r="G391" s="73">
        <f t="shared" si="36"/>
        <v>0</v>
      </c>
    </row>
    <row r="392" spans="1:7">
      <c r="A392" s="79">
        <v>368</v>
      </c>
      <c r="C392" s="73">
        <f t="shared" si="37"/>
        <v>0</v>
      </c>
      <c r="D392" s="73">
        <f t="shared" si="35"/>
        <v>0</v>
      </c>
      <c r="E392" s="73">
        <f t="shared" si="38"/>
        <v>0</v>
      </c>
      <c r="F392" s="73">
        <f t="shared" si="39"/>
        <v>0</v>
      </c>
      <c r="G392" s="73">
        <f t="shared" si="36"/>
        <v>0</v>
      </c>
    </row>
    <row r="393" spans="1:7">
      <c r="A393" s="79">
        <v>369</v>
      </c>
      <c r="C393" s="73">
        <f t="shared" si="37"/>
        <v>0</v>
      </c>
      <c r="D393" s="73">
        <f t="shared" si="35"/>
        <v>0</v>
      </c>
      <c r="E393" s="73">
        <f t="shared" si="38"/>
        <v>0</v>
      </c>
      <c r="F393" s="73">
        <f t="shared" si="39"/>
        <v>0</v>
      </c>
      <c r="G393" s="73">
        <f t="shared" si="36"/>
        <v>0</v>
      </c>
    </row>
    <row r="394" spans="1:7">
      <c r="A394" s="79">
        <v>370</v>
      </c>
      <c r="C394" s="73">
        <f t="shared" si="37"/>
        <v>0</v>
      </c>
      <c r="D394" s="73">
        <f t="shared" si="35"/>
        <v>0</v>
      </c>
      <c r="E394" s="73">
        <f t="shared" si="38"/>
        <v>0</v>
      </c>
      <c r="F394" s="73">
        <f t="shared" si="39"/>
        <v>0</v>
      </c>
      <c r="G394" s="73">
        <f t="shared" si="36"/>
        <v>0</v>
      </c>
    </row>
    <row r="395" spans="1:7">
      <c r="A395" s="79">
        <v>371</v>
      </c>
      <c r="C395" s="73">
        <f t="shared" si="37"/>
        <v>0</v>
      </c>
      <c r="D395" s="73">
        <f t="shared" si="35"/>
        <v>0</v>
      </c>
      <c r="E395" s="73">
        <f t="shared" si="38"/>
        <v>0</v>
      </c>
      <c r="F395" s="73">
        <f t="shared" si="39"/>
        <v>0</v>
      </c>
      <c r="G395" s="73">
        <f t="shared" si="36"/>
        <v>0</v>
      </c>
    </row>
    <row r="396" spans="1:7">
      <c r="A396" s="79">
        <v>372</v>
      </c>
      <c r="C396" s="73">
        <f t="shared" si="37"/>
        <v>0</v>
      </c>
      <c r="D396" s="73">
        <f t="shared" si="35"/>
        <v>0</v>
      </c>
      <c r="E396" s="73">
        <f t="shared" si="38"/>
        <v>0</v>
      </c>
      <c r="F396" s="73">
        <f t="shared" si="39"/>
        <v>0</v>
      </c>
      <c r="G396" s="73">
        <f t="shared" si="36"/>
        <v>0</v>
      </c>
    </row>
    <row r="397" spans="1:7">
      <c r="A397" s="79">
        <v>373</v>
      </c>
      <c r="C397" s="73">
        <f t="shared" si="37"/>
        <v>0</v>
      </c>
      <c r="D397" s="73">
        <f t="shared" si="35"/>
        <v>0</v>
      </c>
      <c r="E397" s="73">
        <f t="shared" si="38"/>
        <v>0</v>
      </c>
      <c r="F397" s="73">
        <f t="shared" si="39"/>
        <v>0</v>
      </c>
      <c r="G397" s="73">
        <f t="shared" si="36"/>
        <v>0</v>
      </c>
    </row>
    <row r="398" spans="1:7">
      <c r="A398" s="79">
        <v>374</v>
      </c>
      <c r="C398" s="73">
        <f t="shared" si="37"/>
        <v>0</v>
      </c>
      <c r="D398" s="73">
        <f t="shared" si="35"/>
        <v>0</v>
      </c>
      <c r="E398" s="73">
        <f t="shared" si="38"/>
        <v>0</v>
      </c>
      <c r="F398" s="73">
        <f t="shared" si="39"/>
        <v>0</v>
      </c>
      <c r="G398" s="73">
        <f t="shared" si="36"/>
        <v>0</v>
      </c>
    </row>
    <row r="399" spans="1:7">
      <c r="A399" s="79">
        <v>375</v>
      </c>
      <c r="C399" s="73">
        <f t="shared" si="37"/>
        <v>0</v>
      </c>
      <c r="D399" s="73">
        <f t="shared" si="35"/>
        <v>0</v>
      </c>
      <c r="E399" s="73">
        <f t="shared" si="38"/>
        <v>0</v>
      </c>
      <c r="F399" s="73">
        <f t="shared" si="39"/>
        <v>0</v>
      </c>
      <c r="G399" s="73">
        <f t="shared" si="36"/>
        <v>0</v>
      </c>
    </row>
    <row r="400" spans="1:7">
      <c r="A400" s="79">
        <v>376</v>
      </c>
      <c r="C400" s="73">
        <f t="shared" si="37"/>
        <v>0</v>
      </c>
      <c r="D400" s="73">
        <f t="shared" si="35"/>
        <v>0</v>
      </c>
      <c r="E400" s="73">
        <f t="shared" si="38"/>
        <v>0</v>
      </c>
      <c r="F400" s="73">
        <f t="shared" si="39"/>
        <v>0</v>
      </c>
      <c r="G400" s="73">
        <f t="shared" si="36"/>
        <v>0</v>
      </c>
    </row>
    <row r="401" spans="1:7">
      <c r="A401" s="79">
        <v>377</v>
      </c>
      <c r="C401" s="73">
        <f t="shared" si="37"/>
        <v>0</v>
      </c>
      <c r="D401" s="73">
        <f t="shared" si="35"/>
        <v>0</v>
      </c>
      <c r="E401" s="73">
        <f t="shared" si="38"/>
        <v>0</v>
      </c>
      <c r="F401" s="73">
        <f t="shared" si="39"/>
        <v>0</v>
      </c>
      <c r="G401" s="73">
        <f t="shared" si="36"/>
        <v>0</v>
      </c>
    </row>
    <row r="402" spans="1:7">
      <c r="A402" s="79">
        <v>378</v>
      </c>
      <c r="C402" s="73">
        <f t="shared" si="37"/>
        <v>0</v>
      </c>
      <c r="D402" s="73">
        <f t="shared" si="35"/>
        <v>0</v>
      </c>
      <c r="E402" s="73">
        <f t="shared" si="38"/>
        <v>0</v>
      </c>
      <c r="F402" s="73">
        <f t="shared" si="39"/>
        <v>0</v>
      </c>
      <c r="G402" s="73">
        <f t="shared" si="36"/>
        <v>0</v>
      </c>
    </row>
    <row r="403" spans="1:7">
      <c r="A403" s="79">
        <v>379</v>
      </c>
      <c r="C403" s="73">
        <f t="shared" si="37"/>
        <v>0</v>
      </c>
      <c r="D403" s="73">
        <f t="shared" si="35"/>
        <v>0</v>
      </c>
      <c r="E403" s="73">
        <f t="shared" si="38"/>
        <v>0</v>
      </c>
      <c r="F403" s="73">
        <f t="shared" si="39"/>
        <v>0</v>
      </c>
      <c r="G403" s="73">
        <f t="shared" si="36"/>
        <v>0</v>
      </c>
    </row>
    <row r="404" spans="1:7">
      <c r="A404" s="79">
        <v>380</v>
      </c>
      <c r="C404" s="73">
        <f t="shared" si="37"/>
        <v>0</v>
      </c>
      <c r="D404" s="73">
        <f t="shared" si="35"/>
        <v>0</v>
      </c>
      <c r="E404" s="73">
        <f t="shared" si="38"/>
        <v>0</v>
      </c>
      <c r="F404" s="73">
        <f t="shared" si="39"/>
        <v>0</v>
      </c>
      <c r="G404" s="73">
        <f t="shared" si="36"/>
        <v>0</v>
      </c>
    </row>
    <row r="405" spans="1:7">
      <c r="A405" s="79">
        <v>381</v>
      </c>
      <c r="C405" s="73">
        <f t="shared" si="37"/>
        <v>0</v>
      </c>
      <c r="D405" s="73">
        <f t="shared" si="35"/>
        <v>0</v>
      </c>
      <c r="E405" s="73">
        <f t="shared" si="38"/>
        <v>0</v>
      </c>
      <c r="F405" s="73">
        <f t="shared" si="39"/>
        <v>0</v>
      </c>
      <c r="G405" s="73">
        <f t="shared" si="36"/>
        <v>0</v>
      </c>
    </row>
    <row r="406" spans="1:7">
      <c r="A406" s="79">
        <v>382</v>
      </c>
      <c r="C406" s="73">
        <f t="shared" si="37"/>
        <v>0</v>
      </c>
      <c r="D406" s="73">
        <f t="shared" si="35"/>
        <v>0</v>
      </c>
      <c r="E406" s="73">
        <f t="shared" si="38"/>
        <v>0</v>
      </c>
      <c r="F406" s="73">
        <f t="shared" si="39"/>
        <v>0</v>
      </c>
      <c r="G406" s="73">
        <f t="shared" si="36"/>
        <v>0</v>
      </c>
    </row>
    <row r="407" spans="1:7">
      <c r="A407" s="79">
        <v>383</v>
      </c>
      <c r="C407" s="73">
        <f t="shared" si="37"/>
        <v>0</v>
      </c>
      <c r="D407" s="73">
        <f t="shared" si="35"/>
        <v>0</v>
      </c>
      <c r="E407" s="73">
        <f t="shared" si="38"/>
        <v>0</v>
      </c>
      <c r="F407" s="73">
        <f t="shared" si="39"/>
        <v>0</v>
      </c>
      <c r="G407" s="73">
        <f t="shared" si="36"/>
        <v>0</v>
      </c>
    </row>
    <row r="408" spans="1:7">
      <c r="A408" s="79">
        <v>384</v>
      </c>
      <c r="C408" s="73">
        <f t="shared" si="37"/>
        <v>0</v>
      </c>
      <c r="D408" s="73">
        <f t="shared" si="35"/>
        <v>0</v>
      </c>
      <c r="E408" s="73">
        <f t="shared" si="38"/>
        <v>0</v>
      </c>
      <c r="F408" s="73">
        <f t="shared" si="39"/>
        <v>0</v>
      </c>
      <c r="G408" s="73">
        <f t="shared" si="36"/>
        <v>0</v>
      </c>
    </row>
    <row r="409" spans="1:7">
      <c r="A409" s="79">
        <v>385</v>
      </c>
      <c r="C409" s="73">
        <f t="shared" si="37"/>
        <v>0</v>
      </c>
      <c r="D409" s="73">
        <f t="shared" si="35"/>
        <v>0</v>
      </c>
      <c r="E409" s="73">
        <f t="shared" si="38"/>
        <v>0</v>
      </c>
      <c r="F409" s="73">
        <f t="shared" si="39"/>
        <v>0</v>
      </c>
      <c r="G409" s="73">
        <f t="shared" si="36"/>
        <v>0</v>
      </c>
    </row>
    <row r="410" spans="1:7">
      <c r="A410" s="79">
        <v>386</v>
      </c>
      <c r="C410" s="73">
        <f t="shared" si="37"/>
        <v>0</v>
      </c>
      <c r="D410" s="73">
        <f t="shared" ref="D410:D427" si="40">IF(A410&lt;=$C$10*$C$9,$C$11,IF(C410&gt;0,C410,0))</f>
        <v>0</v>
      </c>
      <c r="E410" s="73">
        <f t="shared" si="38"/>
        <v>0</v>
      </c>
      <c r="F410" s="73">
        <f t="shared" si="39"/>
        <v>0</v>
      </c>
      <c r="G410" s="73">
        <f t="shared" ref="G410:G427" si="41">IF(AND(A410&gt;$C$9*$C$10,G409&lt;=0),0,ROUND(C410-F410,2))</f>
        <v>0</v>
      </c>
    </row>
    <row r="411" spans="1:7">
      <c r="A411" s="79">
        <v>387</v>
      </c>
      <c r="C411" s="73">
        <f t="shared" si="37"/>
        <v>0</v>
      </c>
      <c r="D411" s="73">
        <f t="shared" si="40"/>
        <v>0</v>
      </c>
      <c r="E411" s="73">
        <f t="shared" si="38"/>
        <v>0</v>
      </c>
      <c r="F411" s="73">
        <f t="shared" si="39"/>
        <v>0</v>
      </c>
      <c r="G411" s="73">
        <f t="shared" si="41"/>
        <v>0</v>
      </c>
    </row>
    <row r="412" spans="1:7">
      <c r="A412" s="79">
        <v>388</v>
      </c>
      <c r="C412" s="73">
        <f t="shared" si="37"/>
        <v>0</v>
      </c>
      <c r="D412" s="73">
        <f t="shared" si="40"/>
        <v>0</v>
      </c>
      <c r="E412" s="73">
        <f t="shared" si="38"/>
        <v>0</v>
      </c>
      <c r="F412" s="73">
        <f t="shared" si="39"/>
        <v>0</v>
      </c>
      <c r="G412" s="73">
        <f t="shared" si="41"/>
        <v>0</v>
      </c>
    </row>
    <row r="413" spans="1:7">
      <c r="A413" s="79">
        <v>389</v>
      </c>
      <c r="C413" s="73">
        <f t="shared" si="37"/>
        <v>0</v>
      </c>
      <c r="D413" s="73">
        <f t="shared" si="40"/>
        <v>0</v>
      </c>
      <c r="E413" s="73">
        <f t="shared" si="38"/>
        <v>0</v>
      </c>
      <c r="F413" s="73">
        <f t="shared" si="39"/>
        <v>0</v>
      </c>
      <c r="G413" s="73">
        <f t="shared" si="41"/>
        <v>0</v>
      </c>
    </row>
    <row r="414" spans="1:7">
      <c r="A414" s="79">
        <v>390</v>
      </c>
      <c r="C414" s="73">
        <f t="shared" si="37"/>
        <v>0</v>
      </c>
      <c r="D414" s="73">
        <f t="shared" si="40"/>
        <v>0</v>
      </c>
      <c r="E414" s="73">
        <f t="shared" si="38"/>
        <v>0</v>
      </c>
      <c r="F414" s="73">
        <f t="shared" si="39"/>
        <v>0</v>
      </c>
      <c r="G414" s="73">
        <f t="shared" si="41"/>
        <v>0</v>
      </c>
    </row>
    <row r="415" spans="1:7">
      <c r="A415" s="79">
        <v>391</v>
      </c>
      <c r="C415" s="73">
        <f t="shared" si="37"/>
        <v>0</v>
      </c>
      <c r="D415" s="73">
        <f t="shared" si="40"/>
        <v>0</v>
      </c>
      <c r="E415" s="73">
        <f t="shared" si="38"/>
        <v>0</v>
      </c>
      <c r="F415" s="73">
        <f t="shared" si="39"/>
        <v>0</v>
      </c>
      <c r="G415" s="73">
        <f t="shared" si="41"/>
        <v>0</v>
      </c>
    </row>
    <row r="416" spans="1:7">
      <c r="A416" s="79">
        <v>392</v>
      </c>
      <c r="C416" s="73">
        <f t="shared" si="37"/>
        <v>0</v>
      </c>
      <c r="D416" s="73">
        <f t="shared" si="40"/>
        <v>0</v>
      </c>
      <c r="E416" s="73">
        <f t="shared" si="38"/>
        <v>0</v>
      </c>
      <c r="F416" s="73">
        <f t="shared" si="39"/>
        <v>0</v>
      </c>
      <c r="G416" s="73">
        <f t="shared" si="41"/>
        <v>0</v>
      </c>
    </row>
    <row r="417" spans="1:15">
      <c r="A417" s="79">
        <v>393</v>
      </c>
      <c r="C417" s="73">
        <f t="shared" si="37"/>
        <v>0</v>
      </c>
      <c r="D417" s="73">
        <f t="shared" si="40"/>
        <v>0</v>
      </c>
      <c r="E417" s="73">
        <f t="shared" si="38"/>
        <v>0</v>
      </c>
      <c r="F417" s="73">
        <f t="shared" si="39"/>
        <v>0</v>
      </c>
      <c r="G417" s="73">
        <f t="shared" si="41"/>
        <v>0</v>
      </c>
    </row>
    <row r="418" spans="1:15">
      <c r="A418" s="79">
        <v>394</v>
      </c>
      <c r="C418" s="73">
        <f t="shared" si="37"/>
        <v>0</v>
      </c>
      <c r="D418" s="73">
        <f t="shared" si="40"/>
        <v>0</v>
      </c>
      <c r="E418" s="73">
        <f t="shared" si="38"/>
        <v>0</v>
      </c>
      <c r="F418" s="73">
        <f t="shared" si="39"/>
        <v>0</v>
      </c>
      <c r="G418" s="73">
        <f t="shared" si="41"/>
        <v>0</v>
      </c>
    </row>
    <row r="419" spans="1:15">
      <c r="A419" s="79">
        <v>395</v>
      </c>
      <c r="C419" s="73">
        <f t="shared" si="37"/>
        <v>0</v>
      </c>
      <c r="D419" s="73">
        <f t="shared" si="40"/>
        <v>0</v>
      </c>
      <c r="E419" s="73">
        <f t="shared" si="38"/>
        <v>0</v>
      </c>
      <c r="F419" s="73">
        <f t="shared" si="39"/>
        <v>0</v>
      </c>
      <c r="G419" s="73">
        <f t="shared" si="41"/>
        <v>0</v>
      </c>
    </row>
    <row r="420" spans="1:15">
      <c r="A420" s="79">
        <v>396</v>
      </c>
      <c r="C420" s="73">
        <f t="shared" si="37"/>
        <v>0</v>
      </c>
      <c r="D420" s="73">
        <f t="shared" si="40"/>
        <v>0</v>
      </c>
      <c r="E420" s="73">
        <f t="shared" si="38"/>
        <v>0</v>
      </c>
      <c r="F420" s="73">
        <f t="shared" si="39"/>
        <v>0</v>
      </c>
      <c r="G420" s="73">
        <f t="shared" si="41"/>
        <v>0</v>
      </c>
    </row>
    <row r="421" spans="1:15">
      <c r="A421" s="79">
        <v>397</v>
      </c>
      <c r="C421" s="73">
        <f t="shared" si="37"/>
        <v>0</v>
      </c>
      <c r="D421" s="73">
        <f t="shared" si="40"/>
        <v>0</v>
      </c>
      <c r="E421" s="73">
        <f t="shared" si="38"/>
        <v>0</v>
      </c>
      <c r="F421" s="73">
        <f t="shared" si="39"/>
        <v>0</v>
      </c>
      <c r="G421" s="73">
        <f t="shared" si="41"/>
        <v>0</v>
      </c>
    </row>
    <row r="422" spans="1:15">
      <c r="A422" s="79">
        <v>398</v>
      </c>
      <c r="C422" s="73">
        <f t="shared" si="37"/>
        <v>0</v>
      </c>
      <c r="D422" s="73">
        <f t="shared" si="40"/>
        <v>0</v>
      </c>
      <c r="E422" s="73">
        <f t="shared" si="38"/>
        <v>0</v>
      </c>
      <c r="F422" s="73">
        <f t="shared" si="39"/>
        <v>0</v>
      </c>
      <c r="G422" s="73">
        <f t="shared" si="41"/>
        <v>0</v>
      </c>
    </row>
    <row r="423" spans="1:15">
      <c r="A423" s="79">
        <v>399</v>
      </c>
      <c r="C423" s="73">
        <f t="shared" si="37"/>
        <v>0</v>
      </c>
      <c r="D423" s="73">
        <f t="shared" si="40"/>
        <v>0</v>
      </c>
      <c r="E423" s="73">
        <f t="shared" si="38"/>
        <v>0</v>
      </c>
      <c r="F423" s="73">
        <f t="shared" si="39"/>
        <v>0</v>
      </c>
      <c r="G423" s="73">
        <f t="shared" si="41"/>
        <v>0</v>
      </c>
    </row>
    <row r="424" spans="1:15">
      <c r="A424" s="79">
        <v>400</v>
      </c>
      <c r="C424" s="73">
        <f t="shared" si="37"/>
        <v>0</v>
      </c>
      <c r="D424" s="73">
        <f t="shared" si="40"/>
        <v>0</v>
      </c>
      <c r="E424" s="73">
        <f t="shared" si="38"/>
        <v>0</v>
      </c>
      <c r="F424" s="73">
        <f t="shared" si="39"/>
        <v>0</v>
      </c>
      <c r="G424" s="73">
        <f t="shared" si="41"/>
        <v>0</v>
      </c>
    </row>
    <row r="425" spans="1:15">
      <c r="A425" s="79">
        <v>401</v>
      </c>
      <c r="C425" s="73">
        <f t="shared" si="37"/>
        <v>0</v>
      </c>
      <c r="D425" s="73">
        <f t="shared" si="40"/>
        <v>0</v>
      </c>
      <c r="E425" s="73">
        <f t="shared" si="38"/>
        <v>0</v>
      </c>
      <c r="F425" s="73">
        <f t="shared" si="39"/>
        <v>0</v>
      </c>
      <c r="G425" s="73">
        <f t="shared" si="41"/>
        <v>0</v>
      </c>
    </row>
    <row r="426" spans="1:15">
      <c r="A426" s="79">
        <v>402</v>
      </c>
      <c r="C426" s="73">
        <f t="shared" si="37"/>
        <v>0</v>
      </c>
      <c r="D426" s="73">
        <f t="shared" si="40"/>
        <v>0</v>
      </c>
      <c r="E426" s="73">
        <f t="shared" si="38"/>
        <v>0</v>
      </c>
      <c r="F426" s="73">
        <f t="shared" si="39"/>
        <v>0</v>
      </c>
      <c r="G426" s="73">
        <f t="shared" si="41"/>
        <v>0</v>
      </c>
    </row>
    <row r="427" spans="1:15">
      <c r="A427" s="79">
        <v>403</v>
      </c>
      <c r="C427" s="73">
        <f t="shared" si="37"/>
        <v>0</v>
      </c>
      <c r="D427" s="73">
        <f t="shared" si="40"/>
        <v>0</v>
      </c>
      <c r="E427" s="73">
        <f t="shared" si="38"/>
        <v>0</v>
      </c>
      <c r="F427" s="73">
        <f t="shared" si="39"/>
        <v>0</v>
      </c>
      <c r="G427" s="73">
        <f t="shared" si="41"/>
        <v>0</v>
      </c>
    </row>
    <row r="428" spans="1:15">
      <c r="B428" s="79"/>
      <c r="C428" s="73">
        <f t="shared" si="37"/>
        <v>0</v>
      </c>
      <c r="D428" s="73">
        <f t="shared" ref="D428" si="42">IF(B428&lt;=$C$10*$C$9,$C$11,IF(C428&gt;0,C428,0))</f>
        <v>10880.089145921724</v>
      </c>
      <c r="E428" s="73">
        <f t="shared" si="38"/>
        <v>0</v>
      </c>
      <c r="F428" s="73">
        <f t="shared" si="39"/>
        <v>10880.089145921724</v>
      </c>
      <c r="G428" s="73">
        <f t="shared" ref="G428" si="43">IF(AND(B428&gt;$C$9*$C$10,G427&lt;=0),0,ROUND(C428-F428,2))</f>
        <v>-10880.09</v>
      </c>
    </row>
    <row r="429" spans="1:15">
      <c r="B429" s="79"/>
    </row>
    <row r="430" spans="1:15">
      <c r="B430" s="79"/>
    </row>
    <row r="431" spans="1:15" ht="15" thickBot="1">
      <c r="B431" s="79"/>
    </row>
    <row r="432" spans="1:15" ht="15" thickTop="1">
      <c r="A432" s="80"/>
      <c r="B432" s="81"/>
      <c r="C432" s="81"/>
      <c r="D432" s="81"/>
      <c r="E432" s="81"/>
      <c r="F432" s="81"/>
      <c r="G432" s="81"/>
      <c r="H432" s="81"/>
      <c r="I432" s="81"/>
      <c r="J432" s="81"/>
      <c r="K432" s="81"/>
      <c r="L432" s="81"/>
      <c r="M432" s="81"/>
      <c r="N432" s="81"/>
      <c r="O432" s="82"/>
    </row>
    <row r="433" spans="1:15" ht="16.2" thickBot="1">
      <c r="A433" s="280" t="s">
        <v>170</v>
      </c>
      <c r="B433" s="281"/>
      <c r="C433" s="281"/>
      <c r="D433" s="281"/>
      <c r="E433" s="15"/>
      <c r="F433" s="15"/>
      <c r="G433" s="15"/>
      <c r="H433" s="15"/>
      <c r="I433" s="15"/>
      <c r="J433" s="15"/>
      <c r="K433" s="15"/>
      <c r="L433" s="15"/>
      <c r="M433" s="15"/>
      <c r="N433" s="15"/>
      <c r="O433" s="83"/>
    </row>
    <row r="434" spans="1:15" ht="58.8" thickTop="1" thickBot="1">
      <c r="A434" s="60" t="s">
        <v>113</v>
      </c>
      <c r="B434" s="102">
        <f>In_Out!F11</f>
        <v>720640</v>
      </c>
      <c r="C434" s="15"/>
      <c r="D434" s="60" t="s">
        <v>169</v>
      </c>
      <c r="E434" s="103">
        <f>In_Out!D12</f>
        <v>15</v>
      </c>
      <c r="F434" s="15"/>
      <c r="G434" s="15"/>
      <c r="H434" s="15"/>
      <c r="I434" s="15"/>
      <c r="J434" s="84" t="s">
        <v>163</v>
      </c>
      <c r="K434" s="84" t="s">
        <v>164</v>
      </c>
      <c r="L434" s="85" t="s">
        <v>165</v>
      </c>
      <c r="M434" s="85" t="s">
        <v>166</v>
      </c>
      <c r="N434" s="85" t="s">
        <v>167</v>
      </c>
      <c r="O434" s="86" t="s">
        <v>168</v>
      </c>
    </row>
    <row r="435" spans="1:15" ht="18.600000000000001" thickTop="1">
      <c r="A435" s="186" t="s">
        <v>112</v>
      </c>
      <c r="B435" s="187"/>
      <c r="C435" s="188"/>
      <c r="D435" s="189"/>
      <c r="E435" s="190">
        <f>In_Out!H11</f>
        <v>0.08</v>
      </c>
      <c r="F435" s="191"/>
      <c r="G435" s="191"/>
      <c r="H435" s="15"/>
      <c r="I435" s="15"/>
      <c r="J435" s="87">
        <v>0</v>
      </c>
      <c r="K435" s="5">
        <f>-(B434)</f>
        <v>-720640</v>
      </c>
      <c r="L435" s="88">
        <v>0</v>
      </c>
      <c r="M435" s="88">
        <v>0</v>
      </c>
      <c r="N435" s="5">
        <f>SUM(J435:M435)</f>
        <v>-720640</v>
      </c>
      <c r="O435" s="89">
        <f>N435</f>
        <v>-720640</v>
      </c>
    </row>
    <row r="436" spans="1:15" ht="36">
      <c r="A436" s="186" t="s">
        <v>114</v>
      </c>
      <c r="B436" s="187"/>
      <c r="C436" s="187"/>
      <c r="D436" s="188"/>
      <c r="E436" s="191">
        <f>NPV(In_Out!H11,Calculations!N436:N460)</f>
        <v>1399593.8861114022</v>
      </c>
      <c r="F436" s="192"/>
      <c r="G436" s="192"/>
      <c r="H436" s="15"/>
      <c r="I436" s="15"/>
      <c r="J436" s="87">
        <v>1</v>
      </c>
      <c r="K436" s="5">
        <f>Cashflows!F54</f>
        <v>145860</v>
      </c>
      <c r="L436" s="88">
        <v>0</v>
      </c>
      <c r="M436" s="88">
        <v>0</v>
      </c>
      <c r="N436" s="6">
        <f>SUM(K436:M436)</f>
        <v>145860</v>
      </c>
      <c r="O436" s="90">
        <f>O435+N436</f>
        <v>-574780</v>
      </c>
    </row>
    <row r="437" spans="1:15" ht="18.75" customHeight="1">
      <c r="A437" s="283" t="s">
        <v>115</v>
      </c>
      <c r="B437" s="284"/>
      <c r="C437" s="284"/>
      <c r="D437" s="188"/>
      <c r="E437" s="193">
        <f>Calculations!O435+NPV((In_Out!H11),Calculations!N436:N460)</f>
        <v>678953.88611140219</v>
      </c>
      <c r="F437" s="192"/>
      <c r="G437" s="192"/>
      <c r="H437" s="15"/>
      <c r="I437" s="15"/>
      <c r="J437" s="87">
        <v>2</v>
      </c>
      <c r="K437" s="5">
        <f>ROUND(IF($E$434&gt;=J437,(1+(In_Out!$D$11))*K436,0),0)</f>
        <v>148777</v>
      </c>
      <c r="L437" s="88">
        <v>0</v>
      </c>
      <c r="M437" s="88">
        <v>0</v>
      </c>
      <c r="N437" s="6">
        <f t="shared" ref="N437:N460" si="44">SUM(K437:M437)</f>
        <v>148777</v>
      </c>
      <c r="O437" s="90">
        <f t="shared" ref="O437:O460" si="45">O436+N437</f>
        <v>-426003</v>
      </c>
    </row>
    <row r="438" spans="1:15" ht="18">
      <c r="A438" s="186"/>
      <c r="B438" s="187"/>
      <c r="C438" s="187"/>
      <c r="D438" s="187"/>
      <c r="E438" s="192"/>
      <c r="F438" s="192"/>
      <c r="G438" s="192"/>
      <c r="H438" s="15"/>
      <c r="I438" s="15"/>
      <c r="J438" s="87">
        <v>3</v>
      </c>
      <c r="K438" s="5">
        <f>ROUND(IF($E$434&gt;=J438,(1+(In_Out!$D$11))*K437,0),0)</f>
        <v>151753</v>
      </c>
      <c r="L438" s="88">
        <v>0</v>
      </c>
      <c r="M438" s="88">
        <v>0</v>
      </c>
      <c r="N438" s="6">
        <f t="shared" si="44"/>
        <v>151753</v>
      </c>
      <c r="O438" s="90">
        <f t="shared" si="45"/>
        <v>-274250</v>
      </c>
    </row>
    <row r="439" spans="1:15" ht="18">
      <c r="A439" s="283" t="s">
        <v>116</v>
      </c>
      <c r="B439" s="284"/>
      <c r="C439" s="284"/>
      <c r="D439" s="194"/>
      <c r="E439" s="195">
        <f>ROUND(Calculations!E436/In_Out!F11,2)</f>
        <v>1.94</v>
      </c>
      <c r="F439" s="278" t="s">
        <v>117</v>
      </c>
      <c r="G439" s="279"/>
      <c r="H439" s="15"/>
      <c r="I439" s="15"/>
      <c r="J439" s="87">
        <v>4</v>
      </c>
      <c r="K439" s="5">
        <f>ROUND(IF($E$434&gt;=J439,(1+(In_Out!$D$11))*K438,0),0)</f>
        <v>154788</v>
      </c>
      <c r="L439" s="88">
        <v>0</v>
      </c>
      <c r="M439" s="88">
        <v>0</v>
      </c>
      <c r="N439" s="6">
        <f t="shared" si="44"/>
        <v>154788</v>
      </c>
      <c r="O439" s="90">
        <f t="shared" si="45"/>
        <v>-119462</v>
      </c>
    </row>
    <row r="440" spans="1:15" ht="18">
      <c r="A440" s="186"/>
      <c r="B440" s="187"/>
      <c r="C440" s="187"/>
      <c r="D440" s="187"/>
      <c r="E440" s="192"/>
      <c r="F440" s="192"/>
      <c r="G440" s="192"/>
      <c r="H440" s="15"/>
      <c r="I440" s="15"/>
      <c r="J440" s="87">
        <v>5</v>
      </c>
      <c r="K440" s="5">
        <f>ROUND(IF($E$434&gt;=J440,(1+(In_Out!$D$11))*K439,0),0)</f>
        <v>157884</v>
      </c>
      <c r="L440" s="88">
        <v>0</v>
      </c>
      <c r="M440" s="88">
        <v>0</v>
      </c>
      <c r="N440" s="6">
        <f t="shared" si="44"/>
        <v>157884</v>
      </c>
      <c r="O440" s="90">
        <f t="shared" si="45"/>
        <v>38422</v>
      </c>
    </row>
    <row r="441" spans="1:15" ht="18.75" customHeight="1">
      <c r="A441" s="283" t="s">
        <v>118</v>
      </c>
      <c r="B441" s="284"/>
      <c r="C441" s="284"/>
      <c r="D441" s="187"/>
      <c r="E441" s="196">
        <f>ROUND(IRR(Calculations!N435:N460,0.25),2)</f>
        <v>0.21</v>
      </c>
      <c r="F441" s="192"/>
      <c r="G441" s="192"/>
      <c r="H441" s="15"/>
      <c r="I441" s="15"/>
      <c r="J441" s="87">
        <v>6</v>
      </c>
      <c r="K441" s="5">
        <f>ROUND(IF($E$434&gt;=J441,(1+(In_Out!$D$11))*K440,0),0)</f>
        <v>161042</v>
      </c>
      <c r="L441" s="88">
        <v>0</v>
      </c>
      <c r="M441" s="88">
        <v>0</v>
      </c>
      <c r="N441" s="6">
        <f t="shared" si="44"/>
        <v>161042</v>
      </c>
      <c r="O441" s="90">
        <f t="shared" si="45"/>
        <v>199464</v>
      </c>
    </row>
    <row r="442" spans="1:15" ht="35.25" customHeight="1">
      <c r="A442" s="282" t="s">
        <v>119</v>
      </c>
      <c r="B442" s="279"/>
      <c r="C442" s="279"/>
      <c r="D442" s="187"/>
      <c r="E442" s="196"/>
      <c r="F442" s="192"/>
      <c r="G442" s="192"/>
      <c r="H442" s="15"/>
      <c r="I442" s="15"/>
      <c r="J442" s="87">
        <v>7</v>
      </c>
      <c r="K442" s="5">
        <f>ROUND(IF($E$434&gt;=J442,(1+(In_Out!$D$11))*K441,0),0)</f>
        <v>164263</v>
      </c>
      <c r="L442" s="88">
        <v>0</v>
      </c>
      <c r="M442" s="88">
        <v>0</v>
      </c>
      <c r="N442" s="6">
        <f t="shared" si="44"/>
        <v>164263</v>
      </c>
      <c r="O442" s="90">
        <f t="shared" si="45"/>
        <v>363727</v>
      </c>
    </row>
    <row r="443" spans="1:15" ht="18">
      <c r="A443" s="186"/>
      <c r="B443" s="187"/>
      <c r="C443" s="187"/>
      <c r="D443" s="187"/>
      <c r="E443" s="192"/>
      <c r="F443" s="192"/>
      <c r="G443" s="192"/>
      <c r="H443" s="15"/>
      <c r="I443" s="15"/>
      <c r="J443" s="87">
        <v>8</v>
      </c>
      <c r="K443" s="5">
        <f>ROUND(IF($E$434&gt;=J443,(1+(In_Out!$D$11))*K442,0),0)</f>
        <v>167548</v>
      </c>
      <c r="L443" s="88">
        <v>0</v>
      </c>
      <c r="M443" s="88">
        <v>0</v>
      </c>
      <c r="N443" s="6">
        <f t="shared" si="44"/>
        <v>167548</v>
      </c>
      <c r="O443" s="90">
        <f t="shared" si="45"/>
        <v>531275</v>
      </c>
    </row>
    <row r="444" spans="1:15" ht="18.75" customHeight="1">
      <c r="A444" s="283" t="s">
        <v>120</v>
      </c>
      <c r="B444" s="284"/>
      <c r="C444" s="284"/>
      <c r="D444" s="187"/>
      <c r="E444" s="197">
        <f>ROUND(((1+In_Out!H11)*((Calculations!E439)^(1/Calculations!E434)))-1,2)</f>
        <v>0.13</v>
      </c>
      <c r="F444" s="192"/>
      <c r="G444" s="192"/>
      <c r="H444" s="15"/>
      <c r="I444" s="15"/>
      <c r="J444" s="87">
        <v>9</v>
      </c>
      <c r="K444" s="5">
        <f>ROUND(IF($E$434&gt;=J444,(1+(In_Out!$D$11))*K443,0),0)</f>
        <v>170899</v>
      </c>
      <c r="L444" s="88">
        <v>0</v>
      </c>
      <c r="M444" s="88">
        <v>0</v>
      </c>
      <c r="N444" s="6">
        <f t="shared" si="44"/>
        <v>170899</v>
      </c>
      <c r="O444" s="90">
        <f t="shared" si="45"/>
        <v>702174</v>
      </c>
    </row>
    <row r="445" spans="1:15" ht="18">
      <c r="A445" s="282" t="s">
        <v>121</v>
      </c>
      <c r="B445" s="279"/>
      <c r="C445" s="279"/>
      <c r="D445" s="188"/>
      <c r="E445" s="198"/>
      <c r="F445" s="198"/>
      <c r="G445" s="198"/>
      <c r="H445" s="15"/>
      <c r="I445" s="15"/>
      <c r="J445" s="87">
        <v>10</v>
      </c>
      <c r="K445" s="5">
        <f>ROUND(IF($E$434&gt;=J445,(1+(In_Out!$D$11))*K444,0),0)</f>
        <v>174317</v>
      </c>
      <c r="L445" s="88">
        <v>0</v>
      </c>
      <c r="M445" s="88">
        <v>0</v>
      </c>
      <c r="N445" s="6">
        <f t="shared" si="44"/>
        <v>174317</v>
      </c>
      <c r="O445" s="90">
        <f t="shared" si="45"/>
        <v>876491</v>
      </c>
    </row>
    <row r="446" spans="1:15" ht="18">
      <c r="A446" s="282" t="s">
        <v>122</v>
      </c>
      <c r="B446" s="279"/>
      <c r="C446" s="279"/>
      <c r="D446" s="188"/>
      <c r="E446" s="198"/>
      <c r="F446" s="198"/>
      <c r="G446" s="198"/>
      <c r="H446" s="15"/>
      <c r="I446" s="15"/>
      <c r="J446" s="87">
        <v>11</v>
      </c>
      <c r="K446" s="5">
        <f>ROUND(IF($E$434&gt;=J446,(1+(In_Out!$D$11))*K445,0),0)</f>
        <v>177803</v>
      </c>
      <c r="L446" s="88">
        <v>0</v>
      </c>
      <c r="M446" s="88">
        <v>0</v>
      </c>
      <c r="N446" s="6">
        <f t="shared" si="44"/>
        <v>177803</v>
      </c>
      <c r="O446" s="90">
        <f t="shared" si="45"/>
        <v>1054294</v>
      </c>
    </row>
    <row r="447" spans="1:15">
      <c r="A447" s="91"/>
      <c r="B447" s="92"/>
      <c r="C447" s="15"/>
      <c r="D447" s="15"/>
      <c r="E447" s="15"/>
      <c r="F447" s="15"/>
      <c r="G447" s="15"/>
      <c r="H447" s="15"/>
      <c r="I447" s="15"/>
      <c r="J447" s="87">
        <v>12</v>
      </c>
      <c r="K447" s="5">
        <f>ROUND(IF($E$434&gt;=J447,(1+(In_Out!$D$11))*K446,0),0)</f>
        <v>181359</v>
      </c>
      <c r="L447" s="88">
        <v>0</v>
      </c>
      <c r="M447" s="88">
        <v>0</v>
      </c>
      <c r="N447" s="6">
        <f t="shared" si="44"/>
        <v>181359</v>
      </c>
      <c r="O447" s="90">
        <f t="shared" si="45"/>
        <v>1235653</v>
      </c>
    </row>
    <row r="448" spans="1:15">
      <c r="A448" s="91"/>
      <c r="B448" s="92"/>
      <c r="C448" s="15"/>
      <c r="D448" s="15"/>
      <c r="E448" s="15"/>
      <c r="F448" s="15"/>
      <c r="G448" s="15"/>
      <c r="H448" s="15"/>
      <c r="I448" s="15"/>
      <c r="J448" s="87">
        <v>13</v>
      </c>
      <c r="K448" s="5">
        <f>ROUND(IF($E$434&gt;=J448,(1+(In_Out!$D$11))*K447,0),0)</f>
        <v>184986</v>
      </c>
      <c r="L448" s="88">
        <v>0</v>
      </c>
      <c r="M448" s="88">
        <v>0</v>
      </c>
      <c r="N448" s="6">
        <f t="shared" si="44"/>
        <v>184986</v>
      </c>
      <c r="O448" s="90">
        <f t="shared" si="45"/>
        <v>1420639</v>
      </c>
    </row>
    <row r="449" spans="1:15">
      <c r="A449" s="91"/>
      <c r="B449" s="92"/>
      <c r="C449" s="15"/>
      <c r="D449" s="15"/>
      <c r="E449" s="15"/>
      <c r="F449" s="15"/>
      <c r="G449" s="15"/>
      <c r="H449" s="15"/>
      <c r="I449" s="15"/>
      <c r="J449" s="87">
        <v>14</v>
      </c>
      <c r="K449" s="5">
        <f>ROUND(IF($E$434&gt;=J449,(1+(In_Out!$D$11))*K448,0),0)</f>
        <v>188686</v>
      </c>
      <c r="L449" s="88">
        <v>0</v>
      </c>
      <c r="M449" s="88">
        <v>0</v>
      </c>
      <c r="N449" s="6">
        <f t="shared" si="44"/>
        <v>188686</v>
      </c>
      <c r="O449" s="90">
        <f t="shared" si="45"/>
        <v>1609325</v>
      </c>
    </row>
    <row r="450" spans="1:15">
      <c r="A450" s="91"/>
      <c r="B450" s="92"/>
      <c r="C450" s="15"/>
      <c r="D450" s="15"/>
      <c r="E450" s="15"/>
      <c r="F450" s="15"/>
      <c r="G450" s="15"/>
      <c r="H450" s="15"/>
      <c r="I450" s="15"/>
      <c r="J450" s="87">
        <v>15</v>
      </c>
      <c r="K450" s="5">
        <f>ROUND(IF($E$434&gt;=J450,(1+(In_Out!$D$11))*K449,0),0)</f>
        <v>192460</v>
      </c>
      <c r="L450" s="88">
        <v>0</v>
      </c>
      <c r="M450" s="88">
        <v>0</v>
      </c>
      <c r="N450" s="6">
        <f t="shared" si="44"/>
        <v>192460</v>
      </c>
      <c r="O450" s="90">
        <f t="shared" si="45"/>
        <v>1801785</v>
      </c>
    </row>
    <row r="451" spans="1:15">
      <c r="A451" s="91"/>
      <c r="B451" s="92"/>
      <c r="C451" s="15"/>
      <c r="D451" s="15"/>
      <c r="E451" s="15"/>
      <c r="F451" s="15"/>
      <c r="G451" s="15"/>
      <c r="H451" s="15"/>
      <c r="I451" s="15"/>
      <c r="J451" s="87">
        <v>16</v>
      </c>
      <c r="K451" s="5">
        <f>ROUND(IF($E$434&gt;=J451,(1+(In_Out!$D$11))*K450,0),0)</f>
        <v>0</v>
      </c>
      <c r="L451" s="88">
        <v>0</v>
      </c>
      <c r="M451" s="88">
        <v>0</v>
      </c>
      <c r="N451" s="6">
        <f t="shared" si="44"/>
        <v>0</v>
      </c>
      <c r="O451" s="90">
        <f t="shared" si="45"/>
        <v>1801785</v>
      </c>
    </row>
    <row r="452" spans="1:15">
      <c r="A452" s="91"/>
      <c r="B452" s="92"/>
      <c r="C452" s="15"/>
      <c r="D452" s="15"/>
      <c r="E452" s="15"/>
      <c r="F452" s="15"/>
      <c r="G452" s="15"/>
      <c r="H452" s="15"/>
      <c r="I452" s="15"/>
      <c r="J452" s="87">
        <v>17</v>
      </c>
      <c r="K452" s="5">
        <f>ROUND(IF($E$434&gt;=J452,(1+(In_Out!$D$11))*K451,0),0)</f>
        <v>0</v>
      </c>
      <c r="L452" s="88">
        <v>0</v>
      </c>
      <c r="M452" s="88">
        <v>0</v>
      </c>
      <c r="N452" s="6">
        <f t="shared" si="44"/>
        <v>0</v>
      </c>
      <c r="O452" s="90">
        <f t="shared" si="45"/>
        <v>1801785</v>
      </c>
    </row>
    <row r="453" spans="1:15">
      <c r="A453" s="91"/>
      <c r="B453" s="92"/>
      <c r="C453" s="15"/>
      <c r="D453" s="15"/>
      <c r="E453" s="15"/>
      <c r="F453" s="15"/>
      <c r="G453" s="15"/>
      <c r="H453" s="15"/>
      <c r="I453" s="15"/>
      <c r="J453" s="87">
        <v>18</v>
      </c>
      <c r="K453" s="5">
        <f>ROUND(IF($E$434&gt;=J453,(1+(In_Out!$D$11))*K452,0),0)</f>
        <v>0</v>
      </c>
      <c r="L453" s="88">
        <v>0</v>
      </c>
      <c r="M453" s="88">
        <v>0</v>
      </c>
      <c r="N453" s="6">
        <f t="shared" si="44"/>
        <v>0</v>
      </c>
      <c r="O453" s="90">
        <f t="shared" si="45"/>
        <v>1801785</v>
      </c>
    </row>
    <row r="454" spans="1:15">
      <c r="A454" s="91"/>
      <c r="B454" s="92"/>
      <c r="C454" s="15"/>
      <c r="D454" s="15"/>
      <c r="E454" s="15"/>
      <c r="F454" s="15"/>
      <c r="G454" s="15"/>
      <c r="H454" s="15"/>
      <c r="I454" s="15"/>
      <c r="J454" s="87">
        <v>19</v>
      </c>
      <c r="K454" s="5">
        <f>ROUND(IF($E$434&gt;=J454,(1+(In_Out!$D$11))*K453,0),0)</f>
        <v>0</v>
      </c>
      <c r="L454" s="88">
        <v>0</v>
      </c>
      <c r="M454" s="88">
        <v>0</v>
      </c>
      <c r="N454" s="6">
        <f t="shared" si="44"/>
        <v>0</v>
      </c>
      <c r="O454" s="90">
        <f t="shared" si="45"/>
        <v>1801785</v>
      </c>
    </row>
    <row r="455" spans="1:15">
      <c r="A455" s="91"/>
      <c r="B455" s="92"/>
      <c r="C455" s="15"/>
      <c r="D455" s="15"/>
      <c r="E455" s="15"/>
      <c r="F455" s="15"/>
      <c r="G455" s="15"/>
      <c r="H455" s="15"/>
      <c r="I455" s="15"/>
      <c r="J455" s="87">
        <v>20</v>
      </c>
      <c r="K455" s="5">
        <f>ROUND(IF($E$434&gt;=J455,(1+(In_Out!$D$11))*K454,0),0)</f>
        <v>0</v>
      </c>
      <c r="L455" s="88">
        <v>0</v>
      </c>
      <c r="M455" s="88">
        <v>0</v>
      </c>
      <c r="N455" s="6">
        <f t="shared" si="44"/>
        <v>0</v>
      </c>
      <c r="O455" s="90">
        <f t="shared" si="45"/>
        <v>1801785</v>
      </c>
    </row>
    <row r="456" spans="1:15">
      <c r="A456" s="91"/>
      <c r="B456" s="92"/>
      <c r="C456" s="15"/>
      <c r="D456" s="15"/>
      <c r="E456" s="15"/>
      <c r="F456" s="15"/>
      <c r="G456" s="15"/>
      <c r="H456" s="15"/>
      <c r="I456" s="15"/>
      <c r="J456" s="87">
        <v>21</v>
      </c>
      <c r="K456" s="5">
        <f>ROUND(IF($E$434&gt;=J456,(1+(In_Out!$D$11))*K455,0),0)</f>
        <v>0</v>
      </c>
      <c r="L456" s="88">
        <v>0</v>
      </c>
      <c r="M456" s="88">
        <v>0</v>
      </c>
      <c r="N456" s="6">
        <f t="shared" si="44"/>
        <v>0</v>
      </c>
      <c r="O456" s="90">
        <f t="shared" si="45"/>
        <v>1801785</v>
      </c>
    </row>
    <row r="457" spans="1:15">
      <c r="A457" s="91"/>
      <c r="B457" s="92"/>
      <c r="C457" s="15"/>
      <c r="D457" s="15"/>
      <c r="E457" s="15"/>
      <c r="F457" s="15"/>
      <c r="G457" s="15"/>
      <c r="H457" s="15"/>
      <c r="I457" s="15"/>
      <c r="J457" s="87">
        <v>22</v>
      </c>
      <c r="K457" s="5">
        <f>ROUND(IF($E$434&gt;=J457,(1+(In_Out!$D$11))*K456,0),0)</f>
        <v>0</v>
      </c>
      <c r="L457" s="88">
        <v>0</v>
      </c>
      <c r="M457" s="88">
        <v>0</v>
      </c>
      <c r="N457" s="6">
        <f t="shared" si="44"/>
        <v>0</v>
      </c>
      <c r="O457" s="90">
        <f t="shared" si="45"/>
        <v>1801785</v>
      </c>
    </row>
    <row r="458" spans="1:15">
      <c r="A458" s="91"/>
      <c r="B458" s="92"/>
      <c r="C458" s="15"/>
      <c r="D458" s="15"/>
      <c r="E458" s="15"/>
      <c r="F458" s="15"/>
      <c r="G458" s="15"/>
      <c r="H458" s="15"/>
      <c r="I458" s="15"/>
      <c r="J458" s="87">
        <v>23</v>
      </c>
      <c r="K458" s="5">
        <f>ROUND(IF($E$434&gt;=J458,(1+(In_Out!$D$11))*K457,0),0)</f>
        <v>0</v>
      </c>
      <c r="L458" s="88">
        <v>0</v>
      </c>
      <c r="M458" s="88">
        <v>0</v>
      </c>
      <c r="N458" s="6">
        <f t="shared" si="44"/>
        <v>0</v>
      </c>
      <c r="O458" s="90">
        <f t="shared" si="45"/>
        <v>1801785</v>
      </c>
    </row>
    <row r="459" spans="1:15">
      <c r="A459" s="91"/>
      <c r="B459" s="92"/>
      <c r="C459" s="15"/>
      <c r="D459" s="15"/>
      <c r="E459" s="15"/>
      <c r="F459" s="15"/>
      <c r="G459" s="15"/>
      <c r="H459" s="15"/>
      <c r="I459" s="15"/>
      <c r="J459" s="87">
        <v>24</v>
      </c>
      <c r="K459" s="5">
        <f>ROUND(IF($E$434&gt;=J459,(1+(In_Out!$D$11))*K458,0),0)</f>
        <v>0</v>
      </c>
      <c r="L459" s="88">
        <v>0</v>
      </c>
      <c r="M459" s="88">
        <v>0</v>
      </c>
      <c r="N459" s="6">
        <f t="shared" si="44"/>
        <v>0</v>
      </c>
      <c r="O459" s="90">
        <f t="shared" si="45"/>
        <v>1801785</v>
      </c>
    </row>
    <row r="460" spans="1:15" ht="15" thickBot="1">
      <c r="A460" s="93"/>
      <c r="B460" s="94"/>
      <c r="C460" s="95"/>
      <c r="D460" s="95"/>
      <c r="E460" s="95"/>
      <c r="F460" s="95"/>
      <c r="G460" s="95"/>
      <c r="H460" s="95"/>
      <c r="I460" s="95"/>
      <c r="J460" s="96">
        <v>25</v>
      </c>
      <c r="K460" s="97">
        <f>ROUND(IF($E$434&gt;=J460,(1+(In_Out!$D$11))*K459,0),0)</f>
        <v>0</v>
      </c>
      <c r="L460" s="98">
        <v>0</v>
      </c>
      <c r="M460" s="98">
        <v>0</v>
      </c>
      <c r="N460" s="99">
        <f t="shared" si="44"/>
        <v>0</v>
      </c>
      <c r="O460" s="100">
        <f t="shared" si="45"/>
        <v>1801785</v>
      </c>
    </row>
    <row r="461" spans="1:15" ht="15" thickTop="1">
      <c r="B461" s="79"/>
    </row>
    <row r="462" spans="1:15">
      <c r="B462" s="79"/>
    </row>
  </sheetData>
  <sheetProtection password="9919" sheet="1" objects="1" scenarios="1"/>
  <mergeCells count="44">
    <mergeCell ref="M4:N4"/>
    <mergeCell ref="E23:E24"/>
    <mergeCell ref="F23:F24"/>
    <mergeCell ref="G23:G24"/>
    <mergeCell ref="B2:D2"/>
    <mergeCell ref="H20:I20"/>
    <mergeCell ref="H21:I21"/>
    <mergeCell ref="H22:I22"/>
    <mergeCell ref="H23:I23"/>
    <mergeCell ref="H24:I24"/>
    <mergeCell ref="A23:A24"/>
    <mergeCell ref="B23:B24"/>
    <mergeCell ref="C23:C24"/>
    <mergeCell ref="D23:D24"/>
    <mergeCell ref="A442:C442"/>
    <mergeCell ref="A437:C437"/>
    <mergeCell ref="A445:C445"/>
    <mergeCell ref="A446:C446"/>
    <mergeCell ref="A439:C439"/>
    <mergeCell ref="A441:C441"/>
    <mergeCell ref="A444:C444"/>
    <mergeCell ref="F439:G439"/>
    <mergeCell ref="A433:D433"/>
    <mergeCell ref="H7:I7"/>
    <mergeCell ref="H6:I6"/>
    <mergeCell ref="H8:I8"/>
    <mergeCell ref="H9:I9"/>
    <mergeCell ref="H10:I10"/>
    <mergeCell ref="H11:I11"/>
    <mergeCell ref="H12:I12"/>
    <mergeCell ref="H13:I13"/>
    <mergeCell ref="H14:I14"/>
    <mergeCell ref="H15:I15"/>
    <mergeCell ref="H16:I16"/>
    <mergeCell ref="H17:I17"/>
    <mergeCell ref="H18:I18"/>
    <mergeCell ref="H19:I19"/>
    <mergeCell ref="H30:I30"/>
    <mergeCell ref="H31:I31"/>
    <mergeCell ref="H25:I25"/>
    <mergeCell ref="H26:I26"/>
    <mergeCell ref="H27:I27"/>
    <mergeCell ref="H28:I28"/>
    <mergeCell ref="H29:I2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31"/>
  <sheetViews>
    <sheetView zoomScaleNormal="100" workbookViewId="0">
      <selection activeCell="A24" sqref="A24:A45"/>
    </sheetView>
  </sheetViews>
  <sheetFormatPr defaultRowHeight="14.4"/>
  <cols>
    <col min="1" max="1" width="14.33203125" customWidth="1"/>
    <col min="2" max="2" width="14.33203125" bestFit="1" customWidth="1"/>
    <col min="3" max="3" width="15.5546875" bestFit="1" customWidth="1"/>
    <col min="4" max="4" width="19.33203125" bestFit="1" customWidth="1"/>
    <col min="5" max="5" width="16.109375" customWidth="1"/>
    <col min="6" max="6" width="15.5546875" bestFit="1" customWidth="1"/>
    <col min="7" max="7" width="19.33203125" bestFit="1" customWidth="1"/>
    <col min="8" max="8" width="15.88671875" customWidth="1"/>
    <col min="9" max="9" width="15.5546875" bestFit="1" customWidth="1"/>
    <col min="10" max="10" width="19.33203125" bestFit="1" customWidth="1"/>
    <col min="11" max="12" width="17.6640625" customWidth="1"/>
    <col min="13" max="13" width="16.33203125" customWidth="1"/>
    <col min="14" max="14" width="21.33203125" bestFit="1" customWidth="1"/>
    <col min="15" max="15" width="16.33203125" bestFit="1" customWidth="1"/>
    <col min="16" max="16" width="17.44140625" bestFit="1" customWidth="1"/>
    <col min="17" max="17" width="16.6640625" customWidth="1"/>
    <col min="33" max="33" width="3.33203125" customWidth="1"/>
    <col min="34" max="34" width="2.6640625" customWidth="1"/>
    <col min="35" max="35" width="21.6640625" bestFit="1" customWidth="1"/>
    <col min="36" max="37" width="12.33203125" bestFit="1" customWidth="1"/>
    <col min="38" max="38" width="13.6640625" bestFit="1" customWidth="1"/>
    <col min="39" max="40" width="11.6640625" bestFit="1" customWidth="1"/>
  </cols>
  <sheetData>
    <row r="1" spans="1:22">
      <c r="A1" s="13" t="s">
        <v>53</v>
      </c>
      <c r="C1" s="309" t="s">
        <v>108</v>
      </c>
      <c r="D1" s="309"/>
      <c r="E1" s="309"/>
      <c r="G1" s="310" t="s">
        <v>91</v>
      </c>
      <c r="H1" s="310"/>
      <c r="I1" s="310"/>
      <c r="K1" s="311" t="s">
        <v>92</v>
      </c>
      <c r="L1" s="311"/>
      <c r="M1" s="311"/>
      <c r="O1" s="306" t="s">
        <v>42</v>
      </c>
      <c r="P1" s="306"/>
      <c r="Q1" s="306"/>
    </row>
    <row r="2" spans="1:22" s="1" customFormat="1" ht="75" customHeight="1">
      <c r="C2" s="1" t="s">
        <v>149</v>
      </c>
      <c r="D2" s="1" t="s">
        <v>148</v>
      </c>
      <c r="E2" s="1" t="s">
        <v>147</v>
      </c>
      <c r="G2" s="1" t="s">
        <v>79</v>
      </c>
      <c r="H2" s="1" t="s">
        <v>76</v>
      </c>
      <c r="I2" s="1" t="s">
        <v>147</v>
      </c>
      <c r="K2" s="1" t="s">
        <v>79</v>
      </c>
      <c r="L2" s="1" t="s">
        <v>76</v>
      </c>
      <c r="M2" s="1" t="s">
        <v>147</v>
      </c>
      <c r="O2" s="1" t="s">
        <v>79</v>
      </c>
      <c r="P2" s="1" t="s">
        <v>76</v>
      </c>
      <c r="Q2" s="1" t="s">
        <v>188</v>
      </c>
      <c r="V2" s="1" t="s">
        <v>66</v>
      </c>
    </row>
    <row r="3" spans="1:22">
      <c r="A3" s="19">
        <v>0</v>
      </c>
      <c r="C3" s="14">
        <f t="shared" ref="C3:C18" si="0">J24</f>
        <v>-475000</v>
      </c>
      <c r="D3" s="14">
        <f t="shared" ref="D3:D18" si="1">K24</f>
        <v>-475000</v>
      </c>
      <c r="E3" s="14">
        <f>-D3</f>
        <v>475000</v>
      </c>
      <c r="G3" s="14">
        <f t="shared" ref="G3:G18" si="2">J53</f>
        <v>-460000</v>
      </c>
      <c r="H3" s="14">
        <f>G3</f>
        <v>-460000</v>
      </c>
      <c r="I3" s="14">
        <f>-H3</f>
        <v>460000</v>
      </c>
      <c r="K3" s="14">
        <f t="shared" ref="K3:K18" si="3">J82</f>
        <v>-460000</v>
      </c>
      <c r="L3" s="14">
        <f>K3</f>
        <v>-460000</v>
      </c>
      <c r="M3" s="14">
        <f>-L3</f>
        <v>460000</v>
      </c>
      <c r="N3" s="10"/>
      <c r="O3" s="14">
        <f t="shared" ref="O3:O18" si="4">-B53</f>
        <v>-460000</v>
      </c>
      <c r="P3" s="14">
        <f>O3</f>
        <v>-460000</v>
      </c>
      <c r="Q3" s="14">
        <f>-P3</f>
        <v>460000</v>
      </c>
    </row>
    <row r="4" spans="1:22">
      <c r="A4" s="19">
        <v>1</v>
      </c>
      <c r="C4" s="14">
        <f t="shared" si="0"/>
        <v>-474200</v>
      </c>
      <c r="D4" s="14">
        <f t="shared" si="1"/>
        <v>-949200</v>
      </c>
      <c r="E4" s="14">
        <f t="shared" ref="E4:E18" si="5">-D4</f>
        <v>949200</v>
      </c>
      <c r="G4" s="14">
        <f t="shared" si="2"/>
        <v>-453901.06975106068</v>
      </c>
      <c r="H4" s="14">
        <f t="shared" ref="H4:H18" si="6">K54</f>
        <v>-913901.06975106068</v>
      </c>
      <c r="I4" s="14">
        <f t="shared" ref="I4:I18" si="7">-H4</f>
        <v>913901.06975106068</v>
      </c>
      <c r="J4" s="14"/>
      <c r="K4" s="14">
        <f t="shared" si="3"/>
        <v>-469200</v>
      </c>
      <c r="L4" s="14">
        <f t="shared" ref="L4:L18" si="8">K4+L3</f>
        <v>-929200</v>
      </c>
      <c r="M4" s="14">
        <f t="shared" ref="M4:M18" si="9">-L4</f>
        <v>929200</v>
      </c>
      <c r="N4" s="14"/>
      <c r="O4" s="14">
        <f t="shared" si="4"/>
        <v>-469200</v>
      </c>
      <c r="P4" s="14">
        <f t="shared" ref="P4:P18" si="10">O4+P3</f>
        <v>-929200</v>
      </c>
      <c r="Q4" s="14">
        <f t="shared" ref="Q4:Q18" si="11">-P4</f>
        <v>929200</v>
      </c>
    </row>
    <row r="5" spans="1:22">
      <c r="A5" s="19">
        <v>2</v>
      </c>
      <c r="C5" s="14">
        <f t="shared" si="0"/>
        <v>-486084</v>
      </c>
      <c r="D5" s="14">
        <f t="shared" si="1"/>
        <v>-1435284</v>
      </c>
      <c r="E5" s="14">
        <f t="shared" si="5"/>
        <v>1435284</v>
      </c>
      <c r="G5" s="14">
        <f t="shared" si="2"/>
        <v>-460367.86975106073</v>
      </c>
      <c r="H5" s="14">
        <f t="shared" si="6"/>
        <v>-1374268.9395021214</v>
      </c>
      <c r="I5" s="14">
        <f t="shared" si="7"/>
        <v>1374268.9395021214</v>
      </c>
      <c r="J5" s="14"/>
      <c r="K5" s="14">
        <f t="shared" si="3"/>
        <v>-478584</v>
      </c>
      <c r="L5" s="14">
        <f t="shared" si="8"/>
        <v>-1407784</v>
      </c>
      <c r="M5" s="14">
        <f t="shared" si="9"/>
        <v>1407784</v>
      </c>
      <c r="N5" s="14"/>
      <c r="O5" s="14">
        <f t="shared" si="4"/>
        <v>-478584</v>
      </c>
      <c r="P5" s="14">
        <f t="shared" si="10"/>
        <v>-1407784</v>
      </c>
      <c r="Q5" s="14">
        <f t="shared" si="11"/>
        <v>1407784</v>
      </c>
    </row>
    <row r="6" spans="1:22">
      <c r="A6" s="19">
        <v>3</v>
      </c>
      <c r="C6" s="14">
        <f t="shared" si="0"/>
        <v>-493155.68</v>
      </c>
      <c r="D6" s="14">
        <f t="shared" si="1"/>
        <v>-1928439.68</v>
      </c>
      <c r="E6" s="14">
        <f t="shared" si="5"/>
        <v>1928439.68</v>
      </c>
      <c r="G6" s="14">
        <f t="shared" si="2"/>
        <v>-466964.00575106067</v>
      </c>
      <c r="H6" s="14">
        <f t="shared" si="6"/>
        <v>-1841232.9452531822</v>
      </c>
      <c r="I6" s="14">
        <f t="shared" si="7"/>
        <v>1841232.9452531822</v>
      </c>
      <c r="J6" s="14"/>
      <c r="K6" s="14">
        <f t="shared" si="3"/>
        <v>-488155.68</v>
      </c>
      <c r="L6" s="14">
        <f t="shared" si="8"/>
        <v>-1895939.68</v>
      </c>
      <c r="M6" s="14">
        <f t="shared" si="9"/>
        <v>1895939.68</v>
      </c>
      <c r="N6" s="14"/>
      <c r="O6" s="14">
        <f t="shared" si="4"/>
        <v>-488155.68</v>
      </c>
      <c r="P6" s="14">
        <f t="shared" si="10"/>
        <v>-1895939.68</v>
      </c>
      <c r="Q6" s="14">
        <f t="shared" si="11"/>
        <v>1895939.68</v>
      </c>
    </row>
    <row r="7" spans="1:22">
      <c r="A7" s="19">
        <v>4</v>
      </c>
      <c r="C7" s="14">
        <f t="shared" si="0"/>
        <v>-507918.79359999998</v>
      </c>
      <c r="D7" s="14">
        <f t="shared" si="1"/>
        <v>-2436358.4736000001</v>
      </c>
      <c r="E7" s="14">
        <f t="shared" si="5"/>
        <v>2436358.4736000001</v>
      </c>
      <c r="G7" s="14">
        <f t="shared" si="2"/>
        <v>-473692.06447106064</v>
      </c>
      <c r="H7" s="14">
        <f t="shared" si="6"/>
        <v>-2314925.0097242426</v>
      </c>
      <c r="I7" s="14">
        <f t="shared" si="7"/>
        <v>2314925.0097242426</v>
      </c>
      <c r="J7" s="14"/>
      <c r="K7" s="14">
        <f t="shared" si="3"/>
        <v>-497918.79359999998</v>
      </c>
      <c r="L7" s="14">
        <f t="shared" si="8"/>
        <v>-2393858.4736000001</v>
      </c>
      <c r="M7" s="14">
        <f t="shared" si="9"/>
        <v>2393858.4736000001</v>
      </c>
      <c r="N7" s="14"/>
      <c r="O7" s="14">
        <f t="shared" si="4"/>
        <v>-497918.79359999998</v>
      </c>
      <c r="P7" s="14">
        <f t="shared" si="10"/>
        <v>-2393858.4736000001</v>
      </c>
      <c r="Q7" s="14">
        <f t="shared" si="11"/>
        <v>2393858.4736000001</v>
      </c>
    </row>
    <row r="8" spans="1:22">
      <c r="A8" s="19">
        <v>5</v>
      </c>
      <c r="C8" s="14">
        <f t="shared" si="0"/>
        <v>-507877.16947199998</v>
      </c>
      <c r="D8" s="14">
        <f t="shared" si="1"/>
        <v>-2944235.6430720002</v>
      </c>
      <c r="E8" s="14">
        <f t="shared" si="5"/>
        <v>2944235.6430720002</v>
      </c>
      <c r="G8" s="14">
        <f t="shared" si="2"/>
        <v>-480554.68436546065</v>
      </c>
      <c r="H8" s="14">
        <f t="shared" si="6"/>
        <v>-2795479.6940897033</v>
      </c>
      <c r="I8" s="14">
        <f t="shared" si="7"/>
        <v>2795479.6940897033</v>
      </c>
      <c r="J8" s="14"/>
      <c r="K8" s="14">
        <f t="shared" si="3"/>
        <v>-507877.16947199998</v>
      </c>
      <c r="L8" s="14">
        <f t="shared" si="8"/>
        <v>-2901735.6430720002</v>
      </c>
      <c r="M8" s="14">
        <f t="shared" si="9"/>
        <v>2901735.6430720002</v>
      </c>
      <c r="N8" s="14"/>
      <c r="O8" s="14">
        <f t="shared" si="4"/>
        <v>-507877.16947199998</v>
      </c>
      <c r="P8" s="14">
        <f t="shared" si="10"/>
        <v>-2901735.6430720002</v>
      </c>
      <c r="Q8" s="14">
        <f t="shared" si="11"/>
        <v>2901735.6430720002</v>
      </c>
    </row>
    <row r="9" spans="1:22">
      <c r="A9" s="19">
        <v>6</v>
      </c>
      <c r="C9" s="14">
        <f t="shared" si="0"/>
        <v>-356993.48690668796</v>
      </c>
      <c r="D9" s="14">
        <f t="shared" si="1"/>
        <v>-3301229.1299786884</v>
      </c>
      <c r="E9" s="14">
        <f t="shared" si="5"/>
        <v>3301229.1299786884</v>
      </c>
      <c r="G9" s="14">
        <f t="shared" si="2"/>
        <v>-487554.55665774865</v>
      </c>
      <c r="H9" s="14">
        <f t="shared" si="6"/>
        <v>-3283034.250747452</v>
      </c>
      <c r="I9" s="14">
        <f t="shared" si="7"/>
        <v>3283034.250747452</v>
      </c>
      <c r="J9" s="14"/>
      <c r="K9" s="14">
        <f t="shared" si="3"/>
        <v>-487554.55665774865</v>
      </c>
      <c r="L9" s="14">
        <f t="shared" si="8"/>
        <v>-3389290.199729749</v>
      </c>
      <c r="M9" s="14">
        <f t="shared" si="9"/>
        <v>3389290.199729749</v>
      </c>
      <c r="N9" s="14"/>
      <c r="O9" s="14">
        <f t="shared" si="4"/>
        <v>-518034.71286143997</v>
      </c>
      <c r="P9" s="14">
        <f t="shared" si="10"/>
        <v>-3419770.3559334404</v>
      </c>
      <c r="Q9" s="14">
        <f t="shared" si="11"/>
        <v>3419770.3559334404</v>
      </c>
    </row>
    <row r="10" spans="1:22">
      <c r="A10" s="19">
        <v>7</v>
      </c>
      <c r="C10" s="14">
        <f t="shared" si="0"/>
        <v>-364133.35664482176</v>
      </c>
      <c r="D10" s="14">
        <f t="shared" si="1"/>
        <v>-3665362.4866235103</v>
      </c>
      <c r="E10" s="14">
        <f t="shared" si="5"/>
        <v>3665362.4866235103</v>
      </c>
      <c r="G10" s="14">
        <f t="shared" si="2"/>
        <v>-364133.35664482176</v>
      </c>
      <c r="H10" s="14">
        <f t="shared" si="6"/>
        <v>-3647167.6073922738</v>
      </c>
      <c r="I10" s="14">
        <f t="shared" si="7"/>
        <v>3647167.6073922738</v>
      </c>
      <c r="J10" s="14"/>
      <c r="K10" s="14">
        <f t="shared" si="3"/>
        <v>-494694.42639588244</v>
      </c>
      <c r="L10" s="14">
        <f t="shared" si="8"/>
        <v>-3883984.6261256314</v>
      </c>
      <c r="M10" s="14">
        <f t="shared" si="9"/>
        <v>3883984.6261256314</v>
      </c>
      <c r="N10" s="14"/>
      <c r="O10" s="14">
        <f t="shared" si="4"/>
        <v>-528395.40711866878</v>
      </c>
      <c r="P10" s="14">
        <f t="shared" si="10"/>
        <v>-3948165.7630521092</v>
      </c>
      <c r="Q10" s="14">
        <f t="shared" si="11"/>
        <v>3948165.7630521092</v>
      </c>
    </row>
    <row r="11" spans="1:22">
      <c r="A11" s="19">
        <v>8</v>
      </c>
      <c r="C11" s="14">
        <f t="shared" si="0"/>
        <v>-371416.02377771819</v>
      </c>
      <c r="D11" s="14">
        <f t="shared" si="1"/>
        <v>-4036778.5104012284</v>
      </c>
      <c r="E11" s="14">
        <f t="shared" si="5"/>
        <v>4036778.5104012284</v>
      </c>
      <c r="G11" s="14">
        <f t="shared" si="2"/>
        <v>-371416.02377771819</v>
      </c>
      <c r="H11" s="14">
        <f t="shared" si="6"/>
        <v>-4018583.631169992</v>
      </c>
      <c r="I11" s="14">
        <f t="shared" si="7"/>
        <v>4018583.631169992</v>
      </c>
      <c r="J11" s="14"/>
      <c r="K11" s="14">
        <f t="shared" si="3"/>
        <v>-501977.09352877887</v>
      </c>
      <c r="L11" s="14">
        <f t="shared" si="8"/>
        <v>-4385961.7196544101</v>
      </c>
      <c r="M11" s="14">
        <f t="shared" si="9"/>
        <v>4385961.7196544101</v>
      </c>
      <c r="N11" s="14"/>
      <c r="O11" s="14">
        <f t="shared" si="4"/>
        <v>-538963.31526104221</v>
      </c>
      <c r="P11" s="14">
        <f t="shared" si="10"/>
        <v>-4487129.0783131514</v>
      </c>
      <c r="Q11" s="14">
        <f t="shared" si="11"/>
        <v>4487129.0783131514</v>
      </c>
    </row>
    <row r="12" spans="1:22">
      <c r="A12" s="19">
        <v>9</v>
      </c>
      <c r="C12" s="14">
        <f t="shared" si="0"/>
        <v>-378844.34425327263</v>
      </c>
      <c r="D12" s="14">
        <f t="shared" si="1"/>
        <v>-4415622.8546545012</v>
      </c>
      <c r="E12" s="14">
        <f t="shared" si="5"/>
        <v>4415622.8546545012</v>
      </c>
      <c r="G12" s="14">
        <f t="shared" si="2"/>
        <v>-378844.34425327263</v>
      </c>
      <c r="H12" s="14">
        <f t="shared" si="6"/>
        <v>-4397427.9754232643</v>
      </c>
      <c r="I12" s="14">
        <f t="shared" si="7"/>
        <v>4397427.9754232643</v>
      </c>
      <c r="J12" s="14"/>
      <c r="K12" s="14">
        <f t="shared" si="3"/>
        <v>-509405.41400433332</v>
      </c>
      <c r="L12" s="14">
        <f t="shared" si="8"/>
        <v>-4895367.1336587435</v>
      </c>
      <c r="M12" s="14">
        <f t="shared" si="9"/>
        <v>4895367.1336587435</v>
      </c>
      <c r="N12" s="14"/>
      <c r="O12" s="14">
        <f t="shared" si="4"/>
        <v>-549742.58156626311</v>
      </c>
      <c r="P12" s="14">
        <f t="shared" si="10"/>
        <v>-5036871.6598794144</v>
      </c>
      <c r="Q12" s="14">
        <f t="shared" si="11"/>
        <v>5036871.6598794144</v>
      </c>
    </row>
    <row r="13" spans="1:22">
      <c r="A13" s="19">
        <v>10</v>
      </c>
      <c r="C13" s="14">
        <f t="shared" si="0"/>
        <v>-386421.2311383381</v>
      </c>
      <c r="D13" s="14">
        <f t="shared" si="1"/>
        <v>-4802044.0857928395</v>
      </c>
      <c r="E13" s="14">
        <f t="shared" si="5"/>
        <v>4802044.0857928395</v>
      </c>
      <c r="G13" s="14">
        <f t="shared" si="2"/>
        <v>-386421.2311383381</v>
      </c>
      <c r="H13" s="14">
        <f t="shared" si="6"/>
        <v>-4783849.2065616027</v>
      </c>
      <c r="I13" s="14">
        <f t="shared" si="7"/>
        <v>4783849.2065616027</v>
      </c>
      <c r="J13" s="14"/>
      <c r="K13" s="14">
        <f t="shared" si="3"/>
        <v>-516982.30088939879</v>
      </c>
      <c r="L13" s="14">
        <f t="shared" si="8"/>
        <v>-5412349.4345481424</v>
      </c>
      <c r="M13" s="14">
        <f t="shared" si="9"/>
        <v>5412349.4345481424</v>
      </c>
      <c r="N13" s="14"/>
      <c r="O13" s="14">
        <f t="shared" si="4"/>
        <v>-560737.43319758843</v>
      </c>
      <c r="P13" s="14">
        <f t="shared" si="10"/>
        <v>-5597609.093077003</v>
      </c>
      <c r="Q13" s="14">
        <f t="shared" si="11"/>
        <v>5597609.093077003</v>
      </c>
    </row>
    <row r="14" spans="1:22">
      <c r="A14" s="19">
        <v>11</v>
      </c>
      <c r="C14" s="14">
        <f t="shared" si="0"/>
        <v>-394149.65576110489</v>
      </c>
      <c r="D14" s="14">
        <f t="shared" si="1"/>
        <v>-5196193.7415539445</v>
      </c>
      <c r="E14" s="14">
        <f t="shared" si="5"/>
        <v>5196193.7415539445</v>
      </c>
      <c r="G14" s="14">
        <f t="shared" si="2"/>
        <v>-394149.65576110489</v>
      </c>
      <c r="H14" s="14">
        <f t="shared" si="6"/>
        <v>-5177998.8623227077</v>
      </c>
      <c r="I14" s="14">
        <f t="shared" si="7"/>
        <v>5177998.8623227077</v>
      </c>
      <c r="J14" s="14"/>
      <c r="K14" s="14">
        <f t="shared" si="3"/>
        <v>-524710.72551216558</v>
      </c>
      <c r="L14" s="14">
        <f t="shared" si="8"/>
        <v>-5937060.1600603079</v>
      </c>
      <c r="M14" s="14">
        <f t="shared" si="9"/>
        <v>5937060.1600603079</v>
      </c>
      <c r="N14" s="14"/>
      <c r="O14" s="14">
        <f t="shared" si="4"/>
        <v>-571952.18186154019</v>
      </c>
      <c r="P14" s="14">
        <f t="shared" si="10"/>
        <v>-6169561.2749385433</v>
      </c>
      <c r="Q14" s="14">
        <f t="shared" si="11"/>
        <v>6169561.2749385433</v>
      </c>
    </row>
    <row r="15" spans="1:22">
      <c r="A15" s="19">
        <v>12</v>
      </c>
      <c r="C15" s="14">
        <f t="shared" si="0"/>
        <v>-402032.64887632697</v>
      </c>
      <c r="D15" s="14">
        <f t="shared" si="1"/>
        <v>-5598226.3904302716</v>
      </c>
      <c r="E15" s="14">
        <f t="shared" si="5"/>
        <v>5598226.3904302716</v>
      </c>
      <c r="G15" s="14">
        <f t="shared" si="2"/>
        <v>-402032.64887632697</v>
      </c>
      <c r="H15" s="14">
        <f t="shared" si="6"/>
        <v>-5580031.5111990348</v>
      </c>
      <c r="I15" s="14">
        <f t="shared" si="7"/>
        <v>5580031.5111990348</v>
      </c>
      <c r="J15" s="14"/>
      <c r="K15" s="14">
        <f t="shared" si="3"/>
        <v>-402032.64887632697</v>
      </c>
      <c r="L15" s="14">
        <f t="shared" si="8"/>
        <v>-6339092.808936635</v>
      </c>
      <c r="M15" s="14">
        <f t="shared" si="9"/>
        <v>6339092.808936635</v>
      </c>
      <c r="N15" s="14"/>
      <c r="O15" s="14">
        <f t="shared" si="4"/>
        <v>-583391.22549877095</v>
      </c>
      <c r="P15" s="14">
        <f t="shared" si="10"/>
        <v>-6752952.5004373146</v>
      </c>
      <c r="Q15" s="14">
        <f t="shared" si="11"/>
        <v>6752952.5004373146</v>
      </c>
    </row>
    <row r="16" spans="1:22">
      <c r="A16" s="19">
        <v>13</v>
      </c>
      <c r="C16" s="14">
        <f t="shared" si="0"/>
        <v>-410073.30185385345</v>
      </c>
      <c r="D16" s="14">
        <f t="shared" si="1"/>
        <v>-6008299.6922841249</v>
      </c>
      <c r="E16" s="14">
        <f t="shared" si="5"/>
        <v>6008299.6922841249</v>
      </c>
      <c r="G16" s="14">
        <f t="shared" si="2"/>
        <v>-410073.30185385345</v>
      </c>
      <c r="H16" s="14">
        <f t="shared" si="6"/>
        <v>-5990104.813052888</v>
      </c>
      <c r="I16" s="14">
        <f t="shared" si="7"/>
        <v>5990104.813052888</v>
      </c>
      <c r="J16" s="14"/>
      <c r="K16" s="14">
        <f t="shared" si="3"/>
        <v>-410073.30185385345</v>
      </c>
      <c r="L16" s="14">
        <f t="shared" si="8"/>
        <v>-6749166.1107904883</v>
      </c>
      <c r="M16" s="14">
        <f t="shared" si="9"/>
        <v>6749166.1107904883</v>
      </c>
      <c r="N16" s="14"/>
      <c r="O16" s="14">
        <f t="shared" si="4"/>
        <v>-595059.05000874633</v>
      </c>
      <c r="P16" s="14">
        <f t="shared" si="10"/>
        <v>-7348011.5504460614</v>
      </c>
      <c r="Q16" s="14">
        <f t="shared" si="11"/>
        <v>7348011.5504460614</v>
      </c>
    </row>
    <row r="17" spans="1:17">
      <c r="A17" s="19">
        <v>14</v>
      </c>
      <c r="C17" s="14">
        <f t="shared" si="0"/>
        <v>-418274.76789093053</v>
      </c>
      <c r="D17" s="14">
        <f t="shared" si="1"/>
        <v>-6426574.4601750551</v>
      </c>
      <c r="E17" s="14">
        <f t="shared" si="5"/>
        <v>6426574.4601750551</v>
      </c>
      <c r="G17" s="14">
        <f t="shared" si="2"/>
        <v>-418274.76789093053</v>
      </c>
      <c r="H17" s="14">
        <f t="shared" si="6"/>
        <v>-6408379.5809438182</v>
      </c>
      <c r="I17" s="14">
        <f t="shared" si="7"/>
        <v>6408379.5809438182</v>
      </c>
      <c r="J17" s="14"/>
      <c r="K17" s="14">
        <f t="shared" si="3"/>
        <v>-418274.76789093053</v>
      </c>
      <c r="L17" s="14">
        <f t="shared" si="8"/>
        <v>-7167440.8786814185</v>
      </c>
      <c r="M17" s="14">
        <f t="shared" si="9"/>
        <v>7167440.8786814185</v>
      </c>
      <c r="N17" s="14"/>
      <c r="O17" s="14">
        <f t="shared" si="4"/>
        <v>-606960.23100892128</v>
      </c>
      <c r="P17" s="14">
        <f t="shared" si="10"/>
        <v>-7954971.7814549822</v>
      </c>
      <c r="Q17" s="14">
        <f t="shared" si="11"/>
        <v>7954971.7814549822</v>
      </c>
    </row>
    <row r="18" spans="1:17">
      <c r="A18" s="19">
        <v>15</v>
      </c>
      <c r="C18" s="14">
        <f t="shared" si="0"/>
        <v>-426640.26324874919</v>
      </c>
      <c r="D18" s="14">
        <f t="shared" si="1"/>
        <v>-6853214.7234238042</v>
      </c>
      <c r="E18" s="14">
        <f t="shared" si="5"/>
        <v>6853214.7234238042</v>
      </c>
      <c r="G18" s="14">
        <f t="shared" si="2"/>
        <v>-426640.26324874919</v>
      </c>
      <c r="H18" s="14">
        <f t="shared" si="6"/>
        <v>-6835019.8441925673</v>
      </c>
      <c r="I18" s="14">
        <f t="shared" si="7"/>
        <v>6835019.8441925673</v>
      </c>
      <c r="J18" s="14"/>
      <c r="K18" s="14">
        <f t="shared" si="3"/>
        <v>-426640.26324874919</v>
      </c>
      <c r="L18" s="14">
        <f t="shared" si="8"/>
        <v>-7594081.1419301676</v>
      </c>
      <c r="M18" s="14">
        <f t="shared" si="9"/>
        <v>7594081.1419301676</v>
      </c>
      <c r="N18" s="14"/>
      <c r="O18" s="14">
        <f t="shared" si="4"/>
        <v>-619099.43562909972</v>
      </c>
      <c r="P18" s="14">
        <f t="shared" si="10"/>
        <v>-8574071.2170840818</v>
      </c>
      <c r="Q18" s="14">
        <f t="shared" si="11"/>
        <v>8574071.2170840818</v>
      </c>
    </row>
    <row r="19" spans="1:17">
      <c r="A19" s="19"/>
      <c r="C19" s="14"/>
      <c r="D19" s="14"/>
      <c r="E19" s="14"/>
      <c r="G19" s="14"/>
      <c r="H19" s="14"/>
      <c r="I19" s="14"/>
      <c r="J19" s="14"/>
      <c r="K19" s="14"/>
      <c r="L19" s="14"/>
      <c r="M19" s="14"/>
      <c r="N19" s="14"/>
      <c r="O19" s="14"/>
      <c r="P19" s="14"/>
      <c r="Q19" s="14"/>
    </row>
    <row r="20" spans="1:17">
      <c r="A20" s="19"/>
      <c r="C20" s="14"/>
      <c r="D20" s="14"/>
      <c r="E20" s="14"/>
      <c r="G20" s="14"/>
      <c r="H20" s="14"/>
      <c r="I20" s="14"/>
      <c r="J20" s="14"/>
      <c r="K20" s="14"/>
      <c r="L20" s="14"/>
      <c r="M20" s="14"/>
      <c r="N20" s="14"/>
      <c r="O20" s="14"/>
      <c r="P20" s="14"/>
      <c r="Q20" s="14"/>
    </row>
    <row r="21" spans="1:17" ht="33.6" customHeight="1" thickBot="1">
      <c r="A21" s="180"/>
      <c r="B21" s="180"/>
      <c r="C21" s="307" t="s">
        <v>110</v>
      </c>
      <c r="D21" s="307"/>
      <c r="E21" s="307"/>
      <c r="F21" s="307"/>
      <c r="G21" s="180"/>
      <c r="H21" s="180"/>
      <c r="I21" s="180"/>
      <c r="J21" s="180"/>
      <c r="K21" s="180"/>
      <c r="L21" s="181"/>
      <c r="M21" s="181"/>
      <c r="N21" s="181"/>
    </row>
    <row r="22" spans="1:17" ht="15" thickTop="1">
      <c r="A22" s="3"/>
      <c r="B22" s="291" t="s">
        <v>13</v>
      </c>
      <c r="C22" s="291"/>
      <c r="D22" s="20" t="s">
        <v>17</v>
      </c>
      <c r="E22" s="20"/>
      <c r="F22" s="3"/>
      <c r="G22" s="3"/>
      <c r="H22" s="302" t="s">
        <v>151</v>
      </c>
      <c r="I22" s="304" t="s">
        <v>150</v>
      </c>
      <c r="J22" s="304" t="s">
        <v>149</v>
      </c>
      <c r="K22" s="304" t="s">
        <v>148</v>
      </c>
      <c r="L22" s="41" t="s">
        <v>94</v>
      </c>
      <c r="M22" s="3"/>
      <c r="N22" s="35"/>
    </row>
    <row r="23" spans="1:17" ht="70.2" customHeight="1">
      <c r="A23" s="7" t="s">
        <v>77</v>
      </c>
      <c r="B23" s="7" t="s">
        <v>89</v>
      </c>
      <c r="C23" s="7" t="s">
        <v>75</v>
      </c>
      <c r="D23" s="7" t="s">
        <v>90</v>
      </c>
      <c r="E23" s="7"/>
      <c r="F23" s="7" t="s">
        <v>14</v>
      </c>
      <c r="G23" s="7" t="s">
        <v>111</v>
      </c>
      <c r="H23" s="303"/>
      <c r="I23" s="305"/>
      <c r="J23" s="305"/>
      <c r="K23" s="305"/>
      <c r="L23" s="7"/>
      <c r="M23" s="7"/>
      <c r="N23" s="36"/>
    </row>
    <row r="24" spans="1:17" ht="23.4" customHeight="1">
      <c r="A24" s="17">
        <v>0</v>
      </c>
      <c r="B24" s="45">
        <f>In_Out!$D$7</f>
        <v>460000</v>
      </c>
      <c r="C24" s="8">
        <f>B24*In_Out!$D$11</f>
        <v>9200</v>
      </c>
      <c r="D24" s="8"/>
      <c r="E24" s="11"/>
      <c r="F24" s="7"/>
      <c r="G24" s="8">
        <v>15000</v>
      </c>
      <c r="H24" s="51">
        <f t="shared" ref="H24:H45" si="12">IF(G24&gt;=0,F24-G24,F24)</f>
        <v>-15000</v>
      </c>
      <c r="I24" s="51">
        <f>H24</f>
        <v>-15000</v>
      </c>
      <c r="J24" s="51">
        <f t="shared" ref="J24:J45" si="13">-SUM(IF(D24&gt;0,D24,B24)+G24)</f>
        <v>-475000</v>
      </c>
      <c r="K24" s="51">
        <f>J24</f>
        <v>-475000</v>
      </c>
      <c r="L24" s="298" t="s">
        <v>101</v>
      </c>
      <c r="M24" s="299"/>
      <c r="N24" s="300"/>
    </row>
    <row r="25" spans="1:17" ht="15.6" customHeight="1">
      <c r="A25" s="17">
        <v>1</v>
      </c>
      <c r="B25" s="8">
        <f t="shared" ref="B25:B45" si="14">B24+C24</f>
        <v>469200</v>
      </c>
      <c r="C25" s="8">
        <f>B25*In_Out!$D$11</f>
        <v>9384</v>
      </c>
      <c r="D25" s="8">
        <f>IF(G25&gt;0, 0, IF(In_Out!$D$11&lt;&gt;0, B54-(B54*In_Out!$D$10), In_Out!$D$7-(In_Out!$D$7*In_Out!$D$10)))</f>
        <v>0</v>
      </c>
      <c r="E25" s="8"/>
      <c r="F25" s="9">
        <f>IF(D25&gt;0,B25-D25,0)</f>
        <v>0</v>
      </c>
      <c r="G25" s="8">
        <v>5000</v>
      </c>
      <c r="H25" s="51">
        <f t="shared" si="12"/>
        <v>-5000</v>
      </c>
      <c r="I25" s="51">
        <f>I24+H25</f>
        <v>-20000</v>
      </c>
      <c r="J25" s="51">
        <f t="shared" si="13"/>
        <v>-474200</v>
      </c>
      <c r="K25" s="51">
        <f>J25+K24</f>
        <v>-949200</v>
      </c>
      <c r="L25" s="298"/>
      <c r="M25" s="299"/>
      <c r="N25" s="300"/>
    </row>
    <row r="26" spans="1:17">
      <c r="A26" s="17">
        <v>2</v>
      </c>
      <c r="B26" s="9">
        <f t="shared" si="14"/>
        <v>478584</v>
      </c>
      <c r="C26" s="9">
        <f>B26*In_Out!$D$11</f>
        <v>9571.68</v>
      </c>
      <c r="D26" s="8">
        <f>IF(G26&gt;0, 0, IF(In_Out!$D$11&lt;&gt;0, B55-(B55*In_Out!$D$10), In_Out!$D$7-(In_Out!$D$7*In_Out!$D$10)))</f>
        <v>0</v>
      </c>
      <c r="E26" s="8"/>
      <c r="F26" s="9">
        <f>IF(D26&gt;0,B26-D26,0)</f>
        <v>0</v>
      </c>
      <c r="G26" s="8">
        <v>7500</v>
      </c>
      <c r="H26" s="51">
        <f t="shared" si="12"/>
        <v>-7500</v>
      </c>
      <c r="I26" s="51">
        <f>I25+H26</f>
        <v>-27500</v>
      </c>
      <c r="J26" s="51">
        <f t="shared" si="13"/>
        <v>-486084</v>
      </c>
      <c r="K26" s="51">
        <f>J26+K25</f>
        <v>-1435284</v>
      </c>
      <c r="L26" s="298"/>
      <c r="M26" s="299"/>
      <c r="N26" s="300"/>
    </row>
    <row r="27" spans="1:17">
      <c r="A27" s="17">
        <v>3</v>
      </c>
      <c r="B27" s="9">
        <f t="shared" si="14"/>
        <v>488155.68</v>
      </c>
      <c r="C27" s="9">
        <f>B27*In_Out!$D$11</f>
        <v>9763.1136000000006</v>
      </c>
      <c r="D27" s="8">
        <f>IF(G27&gt;0, 0, IF(In_Out!$D$11&lt;&gt;0, B56-(B56*In_Out!$D$10), In_Out!$D$7-(In_Out!$D$7*In_Out!$D$10)))</f>
        <v>0</v>
      </c>
      <c r="E27" s="8"/>
      <c r="F27" s="9">
        <f>IF(D27&gt;0,B27-D27,0)</f>
        <v>0</v>
      </c>
      <c r="G27" s="8">
        <v>5000</v>
      </c>
      <c r="H27" s="51">
        <f t="shared" si="12"/>
        <v>-5000</v>
      </c>
      <c r="I27" s="51">
        <f t="shared" ref="I27:I45" si="15">I26+H27</f>
        <v>-32500</v>
      </c>
      <c r="J27" s="51">
        <f t="shared" si="13"/>
        <v>-493155.68</v>
      </c>
      <c r="K27" s="51">
        <f t="shared" ref="K27:K45" si="16">J27+K26</f>
        <v>-1928439.68</v>
      </c>
      <c r="L27" s="9"/>
      <c r="M27" s="9"/>
      <c r="N27" s="37"/>
    </row>
    <row r="28" spans="1:17">
      <c r="A28" s="17">
        <v>4</v>
      </c>
      <c r="B28" s="9">
        <f t="shared" si="14"/>
        <v>497918.79359999998</v>
      </c>
      <c r="C28" s="9">
        <f>B28*In_Out!$D$11</f>
        <v>9958.3758720000005</v>
      </c>
      <c r="D28" s="8">
        <f>IF(G28&gt;0, 0, IF(In_Out!$D$11&lt;&gt;0, B57-(B57*In_Out!$D$10), In_Out!$D$7-(In_Out!$D$7*In_Out!$D$10)))</f>
        <v>0</v>
      </c>
      <c r="E28" s="8"/>
      <c r="F28" s="9">
        <f>IF(D28&gt;0,B28-D28,0)</f>
        <v>0</v>
      </c>
      <c r="G28" s="8">
        <v>10000</v>
      </c>
      <c r="H28" s="51">
        <f t="shared" si="12"/>
        <v>-10000</v>
      </c>
      <c r="I28" s="51">
        <f t="shared" si="15"/>
        <v>-42500</v>
      </c>
      <c r="J28" s="51">
        <f t="shared" si="13"/>
        <v>-507918.79359999998</v>
      </c>
      <c r="K28" s="51">
        <f t="shared" si="16"/>
        <v>-2436358.4736000001</v>
      </c>
      <c r="L28" s="9"/>
      <c r="M28" s="9"/>
      <c r="N28" s="37"/>
    </row>
    <row r="29" spans="1:17" ht="14.4" customHeight="1">
      <c r="A29" s="17">
        <v>5</v>
      </c>
      <c r="B29" s="9">
        <f t="shared" si="14"/>
        <v>507877.16947199998</v>
      </c>
      <c r="C29" s="9">
        <f>B29*In_Out!$D$11</f>
        <v>10157.543389439999</v>
      </c>
      <c r="D29" s="8">
        <v>0</v>
      </c>
      <c r="E29" s="8"/>
      <c r="F29" s="9">
        <f>IF(D29&gt;0, B29-D29, 0)</f>
        <v>0</v>
      </c>
      <c r="G29" s="8">
        <v>0</v>
      </c>
      <c r="H29" s="51">
        <f t="shared" si="12"/>
        <v>0</v>
      </c>
      <c r="I29" s="51">
        <f t="shared" si="15"/>
        <v>-42500</v>
      </c>
      <c r="J29" s="51">
        <f t="shared" si="13"/>
        <v>-507877.16947199998</v>
      </c>
      <c r="K29" s="51">
        <f t="shared" si="16"/>
        <v>-2944235.6430720002</v>
      </c>
      <c r="L29" s="295" t="s">
        <v>141</v>
      </c>
      <c r="M29" s="296"/>
      <c r="N29" s="297"/>
    </row>
    <row r="30" spans="1:17">
      <c r="A30" s="17">
        <v>6</v>
      </c>
      <c r="B30" s="9">
        <f t="shared" si="14"/>
        <v>518034.71286143997</v>
      </c>
      <c r="C30" s="9">
        <f>B30*In_Out!$D$11</f>
        <v>10360.694257228799</v>
      </c>
      <c r="D30" s="8">
        <f>IF(G30&gt;0, 0, IF(In_Out!$D$11&lt;&gt;0, B59-(B59*In_Out!$D$10), In_Out!$D$7-(In_Out!$D$7*In_Out!$D$10)))</f>
        <v>356993.48690668796</v>
      </c>
      <c r="E30" s="8"/>
      <c r="F30" s="9">
        <f t="shared" ref="F30:F45" si="17">IF(D30&gt;0,B30-D30,0)</f>
        <v>161041.22595475201</v>
      </c>
      <c r="G30" s="8">
        <f>Calculations!J38</f>
        <v>0</v>
      </c>
      <c r="H30" s="51">
        <f t="shared" si="12"/>
        <v>161041.22595475201</v>
      </c>
      <c r="I30" s="51">
        <f t="shared" si="15"/>
        <v>118541.22595475201</v>
      </c>
      <c r="J30" s="51">
        <f t="shared" si="13"/>
        <v>-356993.48690668796</v>
      </c>
      <c r="K30" s="51">
        <f t="shared" si="16"/>
        <v>-3301229.1299786884</v>
      </c>
      <c r="L30" s="295"/>
      <c r="M30" s="296"/>
      <c r="N30" s="297"/>
    </row>
    <row r="31" spans="1:17">
      <c r="A31" s="17">
        <v>7</v>
      </c>
      <c r="B31" s="9">
        <f t="shared" si="14"/>
        <v>528395.40711866878</v>
      </c>
      <c r="C31" s="9">
        <f>B31*In_Out!$D$11</f>
        <v>10567.908142373375</v>
      </c>
      <c r="D31" s="8">
        <f>IF(G31&gt;0, 0, IF(In_Out!$D$11&lt;&gt;0, B60-(B60*In_Out!$D$10), In_Out!$D$7-(In_Out!$D$7*In_Out!$D$10)))</f>
        <v>364133.35664482176</v>
      </c>
      <c r="E31" s="8"/>
      <c r="F31" s="9">
        <f t="shared" si="17"/>
        <v>164262.05047384702</v>
      </c>
      <c r="G31" s="8">
        <f>Calculations!J39</f>
        <v>0</v>
      </c>
      <c r="H31" s="51">
        <f t="shared" si="12"/>
        <v>164262.05047384702</v>
      </c>
      <c r="I31" s="51">
        <f t="shared" si="15"/>
        <v>282803.27642859903</v>
      </c>
      <c r="J31" s="51">
        <f t="shared" si="13"/>
        <v>-364133.35664482176</v>
      </c>
      <c r="K31" s="51">
        <f t="shared" si="16"/>
        <v>-3665362.4866235103</v>
      </c>
      <c r="L31" s="295"/>
      <c r="M31" s="296"/>
      <c r="N31" s="297"/>
    </row>
    <row r="32" spans="1:17">
      <c r="A32" s="17">
        <v>8</v>
      </c>
      <c r="B32" s="9">
        <f t="shared" si="14"/>
        <v>538963.31526104221</v>
      </c>
      <c r="C32" s="9">
        <f>B32*In_Out!$D$11</f>
        <v>10779.266305220845</v>
      </c>
      <c r="D32" s="8">
        <f>IF(G32&gt;0, 0, IF(In_Out!$D$11&lt;&gt;0, B61-(B61*In_Out!$D$10), In_Out!$D$7-(In_Out!$D$7*In_Out!$D$10)))</f>
        <v>371416.02377771819</v>
      </c>
      <c r="E32" s="8"/>
      <c r="F32" s="9">
        <f t="shared" si="17"/>
        <v>167547.29148332402</v>
      </c>
      <c r="G32" s="8">
        <f>Calculations!J40</f>
        <v>0</v>
      </c>
      <c r="H32" s="51">
        <f t="shared" si="12"/>
        <v>167547.29148332402</v>
      </c>
      <c r="I32" s="51">
        <f t="shared" si="15"/>
        <v>450350.56791192305</v>
      </c>
      <c r="J32" s="51">
        <f t="shared" si="13"/>
        <v>-371416.02377771819</v>
      </c>
      <c r="K32" s="51">
        <f t="shared" si="16"/>
        <v>-4036778.5104012284</v>
      </c>
      <c r="L32" s="295"/>
      <c r="M32" s="296"/>
      <c r="N32" s="297"/>
    </row>
    <row r="33" spans="1:14">
      <c r="A33" s="17">
        <v>9</v>
      </c>
      <c r="B33" s="9">
        <f t="shared" si="14"/>
        <v>549742.58156626311</v>
      </c>
      <c r="C33" s="9">
        <f>B33*In_Out!$D$11</f>
        <v>10994.851631325262</v>
      </c>
      <c r="D33" s="8">
        <f>IF(G33&gt;0, 0, IF(In_Out!$D$11&lt;&gt;0, B62-(B62*In_Out!$D$10), In_Out!$D$7-(In_Out!$D$7*In_Out!$D$10)))</f>
        <v>378844.34425327263</v>
      </c>
      <c r="E33" s="8"/>
      <c r="F33" s="9">
        <f t="shared" si="17"/>
        <v>170898.23731299047</v>
      </c>
      <c r="G33" s="8">
        <f>Calculations!J41</f>
        <v>0</v>
      </c>
      <c r="H33" s="51">
        <f t="shared" si="12"/>
        <v>170898.23731299047</v>
      </c>
      <c r="I33" s="51">
        <f t="shared" si="15"/>
        <v>621248.80522491352</v>
      </c>
      <c r="J33" s="51">
        <f t="shared" si="13"/>
        <v>-378844.34425327263</v>
      </c>
      <c r="K33" s="51">
        <f t="shared" si="16"/>
        <v>-4415622.8546545012</v>
      </c>
      <c r="L33" s="39"/>
      <c r="M33" s="9"/>
      <c r="N33" s="37"/>
    </row>
    <row r="34" spans="1:14">
      <c r="A34" s="17">
        <v>10</v>
      </c>
      <c r="B34" s="9">
        <f t="shared" si="14"/>
        <v>560737.43319758843</v>
      </c>
      <c r="C34" s="9">
        <f>B34*In_Out!$D$11</f>
        <v>11214.748663951768</v>
      </c>
      <c r="D34" s="8">
        <f>IF(G34&gt;0, 0, IF(In_Out!$D$11&lt;&gt;0, B63-(B63*In_Out!$D$10), In_Out!$D$7-(In_Out!$D$7*In_Out!$D$10)))</f>
        <v>386421.2311383381</v>
      </c>
      <c r="E34" s="8"/>
      <c r="F34" s="9">
        <f t="shared" si="17"/>
        <v>174316.20205925032</v>
      </c>
      <c r="G34" s="8">
        <f>Calculations!J42</f>
        <v>0</v>
      </c>
      <c r="H34" s="51">
        <f t="shared" si="12"/>
        <v>174316.20205925032</v>
      </c>
      <c r="I34" s="51">
        <f t="shared" si="15"/>
        <v>795565.00728416385</v>
      </c>
      <c r="J34" s="51">
        <f t="shared" si="13"/>
        <v>-386421.2311383381</v>
      </c>
      <c r="K34" s="51">
        <f t="shared" si="16"/>
        <v>-4802044.0857928395</v>
      </c>
      <c r="L34" s="9"/>
      <c r="M34" s="9"/>
      <c r="N34" s="37"/>
    </row>
    <row r="35" spans="1:14">
      <c r="A35" s="17">
        <v>11</v>
      </c>
      <c r="B35" s="9">
        <f t="shared" si="14"/>
        <v>571952.18186154019</v>
      </c>
      <c r="C35" s="9">
        <f>B35*In_Out!$D$11</f>
        <v>11439.043637230803</v>
      </c>
      <c r="D35" s="8">
        <f>IF(G35&gt;0, 0, IF(In_Out!$D$11&lt;&gt;0, B64-(B64*In_Out!$D$10), In_Out!$D$7-(In_Out!$D$7*In_Out!$D$10)))</f>
        <v>394149.65576110489</v>
      </c>
      <c r="E35" s="8"/>
      <c r="F35" s="9">
        <f t="shared" si="17"/>
        <v>177802.52610043529</v>
      </c>
      <c r="G35" s="8">
        <f>Calculations!J43</f>
        <v>0</v>
      </c>
      <c r="H35" s="51">
        <f t="shared" si="12"/>
        <v>177802.52610043529</v>
      </c>
      <c r="I35" s="51">
        <f t="shared" si="15"/>
        <v>973367.53338459914</v>
      </c>
      <c r="J35" s="51">
        <f t="shared" si="13"/>
        <v>-394149.65576110489</v>
      </c>
      <c r="K35" s="51">
        <f t="shared" si="16"/>
        <v>-5196193.7415539445</v>
      </c>
      <c r="L35" s="9"/>
      <c r="M35" s="9"/>
      <c r="N35" s="37"/>
    </row>
    <row r="36" spans="1:14">
      <c r="A36" s="17">
        <v>12</v>
      </c>
      <c r="B36" s="9">
        <f t="shared" si="14"/>
        <v>583391.22549877095</v>
      </c>
      <c r="C36" s="9">
        <f>B36*In_Out!$D$11</f>
        <v>11667.824509975419</v>
      </c>
      <c r="D36" s="8">
        <f>IF(G36&gt;0, 0, IF(In_Out!$D$11&lt;&gt;0, B65-(B65*In_Out!$D$10), In_Out!$D$7-(In_Out!$D$7*In_Out!$D$10)))</f>
        <v>402032.64887632697</v>
      </c>
      <c r="E36" s="8"/>
      <c r="F36" s="9">
        <f t="shared" si="17"/>
        <v>181358.57662244397</v>
      </c>
      <c r="G36" s="8">
        <f>Calculations!J44</f>
        <v>0</v>
      </c>
      <c r="H36" s="51">
        <f t="shared" si="12"/>
        <v>181358.57662244397</v>
      </c>
      <c r="I36" s="51">
        <f t="shared" si="15"/>
        <v>1154726.110007043</v>
      </c>
      <c r="J36" s="51">
        <f t="shared" si="13"/>
        <v>-402032.64887632697</v>
      </c>
      <c r="K36" s="51">
        <f t="shared" si="16"/>
        <v>-5598226.3904302716</v>
      </c>
      <c r="L36" s="9"/>
      <c r="M36" s="9"/>
      <c r="N36" s="37"/>
    </row>
    <row r="37" spans="1:14">
      <c r="A37" s="17">
        <v>13</v>
      </c>
      <c r="B37" s="9">
        <f t="shared" si="14"/>
        <v>595059.05000874633</v>
      </c>
      <c r="C37" s="9">
        <f>B37*In_Out!$D$11</f>
        <v>11901.181000174927</v>
      </c>
      <c r="D37" s="8">
        <f>IF(G37&gt;0, 0, IF(In_Out!$D$11&lt;&gt;0, B66-(B66*In_Out!$D$10), In_Out!$D$7-(In_Out!$D$7*In_Out!$D$10)))</f>
        <v>410073.30185385345</v>
      </c>
      <c r="E37" s="8"/>
      <c r="F37" s="9">
        <f t="shared" si="17"/>
        <v>184985.74815489288</v>
      </c>
      <c r="G37" s="8">
        <f>Calculations!J45</f>
        <v>0</v>
      </c>
      <c r="H37" s="51">
        <f t="shared" si="12"/>
        <v>184985.74815489288</v>
      </c>
      <c r="I37" s="51">
        <f t="shared" si="15"/>
        <v>1339711.8581619358</v>
      </c>
      <c r="J37" s="51">
        <f t="shared" si="13"/>
        <v>-410073.30185385345</v>
      </c>
      <c r="K37" s="51">
        <f t="shared" si="16"/>
        <v>-6008299.6922841249</v>
      </c>
      <c r="L37" s="9"/>
      <c r="M37" s="9"/>
      <c r="N37" s="37"/>
    </row>
    <row r="38" spans="1:14">
      <c r="A38" s="17">
        <v>14</v>
      </c>
      <c r="B38" s="9">
        <f t="shared" si="14"/>
        <v>606960.23100892128</v>
      </c>
      <c r="C38" s="9">
        <f>B38*In_Out!$D$11</f>
        <v>12139.204620178425</v>
      </c>
      <c r="D38" s="8">
        <f>IF(G38&gt;0, 0, IF(In_Out!$D$11&lt;&gt;0, B67-(B67*In_Out!$D$10), In_Out!$D$7-(In_Out!$D$7*In_Out!$D$10)))</f>
        <v>418274.76789093053</v>
      </c>
      <c r="E38" s="8"/>
      <c r="F38" s="9">
        <f t="shared" si="17"/>
        <v>188685.46311799076</v>
      </c>
      <c r="G38" s="8">
        <f>Calculations!J46</f>
        <v>0</v>
      </c>
      <c r="H38" s="51">
        <f t="shared" si="12"/>
        <v>188685.46311799076</v>
      </c>
      <c r="I38" s="51">
        <f t="shared" si="15"/>
        <v>1528397.3212799267</v>
      </c>
      <c r="J38" s="51">
        <f t="shared" si="13"/>
        <v>-418274.76789093053</v>
      </c>
      <c r="K38" s="51">
        <f t="shared" si="16"/>
        <v>-6426574.4601750551</v>
      </c>
      <c r="L38" s="9"/>
      <c r="M38" s="9"/>
      <c r="N38" s="37"/>
    </row>
    <row r="39" spans="1:14">
      <c r="A39" s="17">
        <v>15</v>
      </c>
      <c r="B39" s="9">
        <f t="shared" si="14"/>
        <v>619099.43562909972</v>
      </c>
      <c r="C39" s="9">
        <f>B39*In_Out!$D$11</f>
        <v>12381.988712581995</v>
      </c>
      <c r="D39" s="8">
        <f>IF(G39&gt;0, 0, IF(In_Out!$D$11&lt;&gt;0, B68-(B68*In_Out!$D$10), In_Out!$D$7-(In_Out!$D$7*In_Out!$D$10)))</f>
        <v>426640.26324874919</v>
      </c>
      <c r="E39" s="8"/>
      <c r="F39" s="9">
        <f t="shared" si="17"/>
        <v>192459.17238035053</v>
      </c>
      <c r="G39" s="8">
        <f>Calculations!J47</f>
        <v>0</v>
      </c>
      <c r="H39" s="51">
        <f t="shared" si="12"/>
        <v>192459.17238035053</v>
      </c>
      <c r="I39" s="51">
        <f t="shared" si="15"/>
        <v>1720856.4936602772</v>
      </c>
      <c r="J39" s="51">
        <f t="shared" si="13"/>
        <v>-426640.26324874919</v>
      </c>
      <c r="K39" s="51">
        <f t="shared" si="16"/>
        <v>-6853214.7234238042</v>
      </c>
      <c r="L39" s="39"/>
      <c r="M39" s="9"/>
      <c r="N39" s="37"/>
    </row>
    <row r="40" spans="1:14">
      <c r="A40" s="17">
        <v>16</v>
      </c>
      <c r="B40" s="9">
        <f t="shared" si="14"/>
        <v>631481.42434168176</v>
      </c>
      <c r="C40" s="9">
        <f>B40*In_Out!$D$11</f>
        <v>12629.628486833635</v>
      </c>
      <c r="D40" s="8">
        <f>IF(G40&gt;0, 0, IF(In_Out!$D$11&lt;&gt;0, B69-(B69*In_Out!$D$10), In_Out!$D$7-(In_Out!$D$7*In_Out!$D$10)))</f>
        <v>435173.0685137242</v>
      </c>
      <c r="E40" s="6"/>
      <c r="F40" s="9">
        <f t="shared" si="17"/>
        <v>196308.35582795757</v>
      </c>
      <c r="G40" s="8">
        <f>Calculations!J48</f>
        <v>0</v>
      </c>
      <c r="H40" s="51">
        <f t="shared" si="12"/>
        <v>196308.35582795757</v>
      </c>
      <c r="I40" s="51">
        <f t="shared" si="15"/>
        <v>1917164.8494882348</v>
      </c>
      <c r="J40" s="51">
        <f t="shared" si="13"/>
        <v>-435173.0685137242</v>
      </c>
      <c r="K40" s="51">
        <f t="shared" si="16"/>
        <v>-7288387.7919375282</v>
      </c>
      <c r="L40" s="9"/>
      <c r="M40" s="9"/>
      <c r="N40" s="37"/>
    </row>
    <row r="41" spans="1:14">
      <c r="A41" s="17">
        <v>17</v>
      </c>
      <c r="B41" s="9">
        <f t="shared" si="14"/>
        <v>644111.05282851541</v>
      </c>
      <c r="C41" s="9">
        <f>B41*In_Out!$D$11</f>
        <v>12882.221056570308</v>
      </c>
      <c r="D41" s="8">
        <f>IF(G41&gt;0, 0, IF(In_Out!$D$11&lt;&gt;0, B70-(B70*In_Out!$D$10), In_Out!$D$7-(In_Out!$D$7*In_Out!$D$10)))</f>
        <v>443876.52988399868</v>
      </c>
      <c r="E41" s="6"/>
      <c r="F41" s="9">
        <f t="shared" si="17"/>
        <v>200234.52294451674</v>
      </c>
      <c r="G41" s="8">
        <f>Calculations!J49</f>
        <v>0</v>
      </c>
      <c r="H41" s="51">
        <f t="shared" si="12"/>
        <v>200234.52294451674</v>
      </c>
      <c r="I41" s="51">
        <f t="shared" si="15"/>
        <v>2117399.3724327516</v>
      </c>
      <c r="J41" s="51">
        <f t="shared" si="13"/>
        <v>-443876.52988399868</v>
      </c>
      <c r="K41" s="51">
        <f t="shared" si="16"/>
        <v>-7732264.3218215266</v>
      </c>
      <c r="L41" s="9"/>
      <c r="M41" s="9"/>
      <c r="N41" s="37"/>
    </row>
    <row r="42" spans="1:14">
      <c r="A42" s="17">
        <v>18</v>
      </c>
      <c r="B42" s="9">
        <f t="shared" si="14"/>
        <v>656993.27388508571</v>
      </c>
      <c r="C42" s="9">
        <f>B42*In_Out!$D$11</f>
        <v>13139.865477701715</v>
      </c>
      <c r="D42" s="8">
        <f>IF(G42&gt;0, 0, IF(In_Out!$D$11&lt;&gt;0, B71-(B71*In_Out!$D$10), In_Out!$D$7-(In_Out!$D$7*In_Out!$D$10)))</f>
        <v>452754.06048167864</v>
      </c>
      <c r="E42" s="6"/>
      <c r="F42" s="9">
        <f t="shared" si="17"/>
        <v>204239.21340340708</v>
      </c>
      <c r="G42" s="8">
        <f>Calculations!J50</f>
        <v>0</v>
      </c>
      <c r="H42" s="51">
        <f t="shared" si="12"/>
        <v>204239.21340340708</v>
      </c>
      <c r="I42" s="51">
        <f t="shared" si="15"/>
        <v>2321638.5858361586</v>
      </c>
      <c r="J42" s="51">
        <f t="shared" si="13"/>
        <v>-452754.06048167864</v>
      </c>
      <c r="K42" s="51">
        <f t="shared" si="16"/>
        <v>-8185018.3823032053</v>
      </c>
      <c r="L42" s="9"/>
      <c r="M42" s="9"/>
      <c r="N42" s="37"/>
    </row>
    <row r="43" spans="1:14">
      <c r="A43" s="17">
        <v>19</v>
      </c>
      <c r="B43" s="9">
        <f t="shared" si="14"/>
        <v>670133.13936278748</v>
      </c>
      <c r="C43" s="9">
        <f>B43*In_Out!$D$11</f>
        <v>13402.662787255749</v>
      </c>
      <c r="D43" s="8">
        <f>IF(G43&gt;0, 0, IF(In_Out!$D$11&lt;&gt;0, B72-(B72*In_Out!$D$10), In_Out!$D$7-(In_Out!$D$7*In_Out!$D$10)))</f>
        <v>461809.14169131225</v>
      </c>
      <c r="E43" s="6"/>
      <c r="F43" s="9">
        <f t="shared" si="17"/>
        <v>208323.99767147523</v>
      </c>
      <c r="G43" s="8">
        <f>Calculations!J51</f>
        <v>0</v>
      </c>
      <c r="H43" s="51">
        <f t="shared" si="12"/>
        <v>208323.99767147523</v>
      </c>
      <c r="I43" s="51">
        <f t="shared" si="15"/>
        <v>2529962.5835076338</v>
      </c>
      <c r="J43" s="51">
        <f t="shared" si="13"/>
        <v>-461809.14169131225</v>
      </c>
      <c r="K43" s="51">
        <f t="shared" si="16"/>
        <v>-8646827.5239945184</v>
      </c>
      <c r="L43" s="9"/>
      <c r="M43" s="9"/>
      <c r="N43" s="37"/>
    </row>
    <row r="44" spans="1:14">
      <c r="A44" s="17">
        <v>20</v>
      </c>
      <c r="B44" s="9">
        <f t="shared" si="14"/>
        <v>683535.80215004319</v>
      </c>
      <c r="C44" s="9">
        <f>B44*In_Out!$D$11</f>
        <v>13670.716043000864</v>
      </c>
      <c r="D44" s="8">
        <f>IF(G44&gt;0, 0, IF(In_Out!$D$11&lt;&gt;0, B73-(B73*In_Out!$D$10), In_Out!$D$7-(In_Out!$D$7*In_Out!$D$10)))</f>
        <v>471045.32452513848</v>
      </c>
      <c r="E44" s="6"/>
      <c r="F44" s="9">
        <f t="shared" si="17"/>
        <v>212490.47762490471</v>
      </c>
      <c r="G44" s="8">
        <f>Calculations!J52</f>
        <v>0</v>
      </c>
      <c r="H44" s="51">
        <f t="shared" si="12"/>
        <v>212490.47762490471</v>
      </c>
      <c r="I44" s="51">
        <f t="shared" si="15"/>
        <v>2742453.0611325386</v>
      </c>
      <c r="J44" s="51">
        <f t="shared" si="13"/>
        <v>-471045.32452513848</v>
      </c>
      <c r="K44" s="51">
        <f t="shared" si="16"/>
        <v>-9117872.8485196568</v>
      </c>
      <c r="L44" s="9"/>
      <c r="M44" s="9"/>
      <c r="N44" s="37"/>
    </row>
    <row r="45" spans="1:14">
      <c r="A45" s="17">
        <v>21</v>
      </c>
      <c r="B45" s="9">
        <f t="shared" si="14"/>
        <v>697206.518193044</v>
      </c>
      <c r="C45" s="9">
        <f>B45*In_Out!$D$11</f>
        <v>13944.130363860881</v>
      </c>
      <c r="D45" s="8">
        <f>IF(G45&gt;0, 0, IF(In_Out!$D$11&lt;&gt;0, B74-(B74*In_Out!$D$10), In_Out!$D$7-(In_Out!$D$7*In_Out!$D$10)))</f>
        <v>480466.23101564124</v>
      </c>
      <c r="E45" s="6"/>
      <c r="F45" s="9">
        <f t="shared" si="17"/>
        <v>216740.28717740276</v>
      </c>
      <c r="G45" s="8">
        <f>Calculations!J53</f>
        <v>0</v>
      </c>
      <c r="H45" s="51">
        <f t="shared" si="12"/>
        <v>216740.28717740276</v>
      </c>
      <c r="I45" s="51">
        <f t="shared" si="15"/>
        <v>2959193.3483099416</v>
      </c>
      <c r="J45" s="51">
        <f t="shared" si="13"/>
        <v>-480466.23101564124</v>
      </c>
      <c r="K45" s="51">
        <f t="shared" si="16"/>
        <v>-9598339.079535298</v>
      </c>
      <c r="L45" s="9"/>
      <c r="M45" s="9"/>
      <c r="N45" s="37"/>
    </row>
    <row r="46" spans="1:14">
      <c r="A46" s="4"/>
      <c r="B46" s="4"/>
      <c r="C46" s="4"/>
      <c r="D46" s="6"/>
      <c r="E46" s="6"/>
      <c r="F46" s="6"/>
      <c r="G46" s="5"/>
      <c r="H46" s="52"/>
      <c r="I46" s="52"/>
      <c r="J46" s="51"/>
      <c r="K46" s="51"/>
      <c r="L46" s="39"/>
      <c r="M46" s="9"/>
      <c r="N46" s="37"/>
    </row>
    <row r="47" spans="1:14" ht="15" thickBot="1">
      <c r="A47" s="54" t="s">
        <v>82</v>
      </c>
      <c r="B47" s="56">
        <f>SUM(B25:B46)</f>
        <v>12097532.42784524</v>
      </c>
      <c r="C47" s="55">
        <f>(B39-B24)/B24</f>
        <v>0.34586833832412983</v>
      </c>
      <c r="D47" s="56">
        <f>SUM(D25:D46)</f>
        <v>6654103.4364632964</v>
      </c>
      <c r="E47" s="55"/>
      <c r="F47" s="56">
        <f>SUM(F25:F40)</f>
        <v>1959664.8494882348</v>
      </c>
      <c r="G47" s="56">
        <f>SUM(G24:G40)</f>
        <v>42500</v>
      </c>
      <c r="H47" s="53">
        <f>SUM(H24:H45)</f>
        <v>2959193.3483099416</v>
      </c>
      <c r="I47" s="53">
        <f>H47</f>
        <v>2959193.3483099416</v>
      </c>
      <c r="J47" s="53">
        <f>SUM(J24:J45)</f>
        <v>-9598339.079535298</v>
      </c>
      <c r="K47" s="53">
        <f>K45</f>
        <v>-9598339.079535298</v>
      </c>
      <c r="L47" s="40"/>
      <c r="M47" s="40"/>
      <c r="N47" s="38"/>
    </row>
    <row r="48" spans="1:14" s="13" customFormat="1" ht="15" thickTop="1">
      <c r="A48"/>
      <c r="B48"/>
      <c r="C48"/>
      <c r="D48"/>
      <c r="E48"/>
      <c r="F48"/>
      <c r="G48"/>
      <c r="H48"/>
      <c r="I48"/>
      <c r="J48"/>
      <c r="K48"/>
      <c r="L48"/>
      <c r="M48"/>
      <c r="N48"/>
    </row>
    <row r="50" spans="1:14" ht="40.200000000000003" customHeight="1" thickBot="1">
      <c r="A50" s="182"/>
      <c r="B50" s="182"/>
      <c r="C50" s="308" t="s">
        <v>132</v>
      </c>
      <c r="D50" s="308"/>
      <c r="E50" s="308"/>
      <c r="F50" s="308"/>
      <c r="G50" s="182"/>
      <c r="H50" s="182"/>
      <c r="I50" s="182"/>
      <c r="J50" s="182"/>
      <c r="K50" s="182"/>
      <c r="L50" s="183"/>
      <c r="M50" s="183"/>
      <c r="N50" s="183"/>
    </row>
    <row r="51" spans="1:14" ht="15" thickTop="1">
      <c r="A51" s="3"/>
      <c r="B51" s="291" t="s">
        <v>13</v>
      </c>
      <c r="C51" s="291"/>
      <c r="D51" s="20" t="s">
        <v>17</v>
      </c>
      <c r="E51" s="20"/>
      <c r="F51" s="20"/>
      <c r="G51" s="3"/>
      <c r="H51" s="49"/>
      <c r="I51" s="49"/>
      <c r="J51" s="49"/>
      <c r="K51" s="49"/>
      <c r="L51" s="41" t="s">
        <v>94</v>
      </c>
      <c r="M51" s="3"/>
      <c r="N51" s="35"/>
    </row>
    <row r="52" spans="1:14" ht="55.2" customHeight="1">
      <c r="A52" s="7" t="s">
        <v>77</v>
      </c>
      <c r="B52" s="7" t="s">
        <v>89</v>
      </c>
      <c r="C52" s="7" t="s">
        <v>75</v>
      </c>
      <c r="D52" s="7" t="s">
        <v>90</v>
      </c>
      <c r="E52" s="7" t="s">
        <v>189</v>
      </c>
      <c r="F52" s="7" t="s">
        <v>14</v>
      </c>
      <c r="G52" s="7" t="s">
        <v>16</v>
      </c>
      <c r="H52" s="50" t="s">
        <v>152</v>
      </c>
      <c r="I52" s="50" t="s">
        <v>153</v>
      </c>
      <c r="J52" s="50" t="s">
        <v>79</v>
      </c>
      <c r="K52" s="50" t="s">
        <v>76</v>
      </c>
      <c r="L52" s="7"/>
      <c r="M52" s="7"/>
      <c r="N52" s="36"/>
    </row>
    <row r="53" spans="1:14" ht="16.95" customHeight="1">
      <c r="A53" s="17">
        <v>0</v>
      </c>
      <c r="B53" s="45">
        <f>In_Out!$D$7</f>
        <v>460000</v>
      </c>
      <c r="C53" s="8">
        <f>B53*In_Out!$D$11</f>
        <v>9200</v>
      </c>
      <c r="D53" s="8">
        <f>IF(A53&gt;0,In_Out!$D$7-(In_Out!$D$7*In_Out!$D$10),0)</f>
        <v>0</v>
      </c>
      <c r="E53" s="11">
        <f>D53</f>
        <v>0</v>
      </c>
      <c r="F53" s="7"/>
      <c r="G53" s="12"/>
      <c r="H53" s="50"/>
      <c r="I53" s="50"/>
      <c r="J53" s="51">
        <f>-SUM(IF(D53&gt;0,D53,B53)+G53)</f>
        <v>-460000</v>
      </c>
      <c r="K53" s="51">
        <f>J53</f>
        <v>-460000</v>
      </c>
      <c r="L53" s="292" t="s">
        <v>98</v>
      </c>
      <c r="M53" s="293"/>
      <c r="N53" s="294"/>
    </row>
    <row r="54" spans="1:14">
      <c r="A54" s="18">
        <v>1</v>
      </c>
      <c r="B54" s="8">
        <f t="shared" ref="B54:B68" si="18">B53+C53</f>
        <v>469200</v>
      </c>
      <c r="C54" s="8">
        <f>B54*In_Out!$D$11</f>
        <v>9384</v>
      </c>
      <c r="D54" s="8">
        <f>IF(In_Out!$D$11&lt;&gt;0, B54-(B54*In_Out!$D$10), In_Out!$D$7-(In_Out!$D$7*In_Out!$D$10))</f>
        <v>323340</v>
      </c>
      <c r="E54" s="8">
        <f>E53+D54</f>
        <v>323340</v>
      </c>
      <c r="F54" s="9">
        <f t="shared" ref="F54:F68" si="19">B54-D54</f>
        <v>145860</v>
      </c>
      <c r="G54" s="8">
        <f>Calculations!J7</f>
        <v>130561.06975106068</v>
      </c>
      <c r="H54" s="51">
        <f t="shared" ref="H54:H68" si="20">IF(G54&gt;=0,F54-G54,F54)</f>
        <v>15298.930248939316</v>
      </c>
      <c r="I54" s="51">
        <f>H54</f>
        <v>15298.930248939316</v>
      </c>
      <c r="J54" s="51">
        <f t="shared" ref="J54:J68" si="21">-(D54+G54)</f>
        <v>-453901.06975106068</v>
      </c>
      <c r="K54" s="51">
        <f>J54+K53</f>
        <v>-913901.06975106068</v>
      </c>
      <c r="L54" s="292"/>
      <c r="M54" s="293"/>
      <c r="N54" s="294"/>
    </row>
    <row r="55" spans="1:14">
      <c r="A55" s="17">
        <v>2</v>
      </c>
      <c r="B55" s="9">
        <f t="shared" si="18"/>
        <v>478584</v>
      </c>
      <c r="C55" s="9">
        <f>B55*In_Out!$D$11</f>
        <v>9571.68</v>
      </c>
      <c r="D55" s="8">
        <f>IF(In_Out!$D$11&lt;&gt;0, B55-(B55*In_Out!$D$10), In_Out!$D$7-(In_Out!$D$7*In_Out!$D$10))</f>
        <v>329806.80000000005</v>
      </c>
      <c r="E55" s="8">
        <f>E54+D55</f>
        <v>653146.80000000005</v>
      </c>
      <c r="F55" s="9">
        <f t="shared" si="19"/>
        <v>148777.19999999995</v>
      </c>
      <c r="G55" s="8">
        <f>Calculations!J8</f>
        <v>130561.06975106068</v>
      </c>
      <c r="H55" s="51">
        <f t="shared" si="20"/>
        <v>18216.130248939269</v>
      </c>
      <c r="I55" s="51">
        <f t="shared" ref="I55:I68" si="22">I54+H55</f>
        <v>33515.060497878585</v>
      </c>
      <c r="J55" s="51">
        <f t="shared" si="21"/>
        <v>-460367.86975106073</v>
      </c>
      <c r="K55" s="51">
        <f>J55+K54</f>
        <v>-1374268.9395021214</v>
      </c>
      <c r="L55" s="292"/>
      <c r="M55" s="293"/>
      <c r="N55" s="294"/>
    </row>
    <row r="56" spans="1:14">
      <c r="A56" s="18">
        <v>3</v>
      </c>
      <c r="B56" s="9">
        <f t="shared" si="18"/>
        <v>488155.68</v>
      </c>
      <c r="C56" s="9">
        <f>B56*In_Out!$D$11</f>
        <v>9763.1136000000006</v>
      </c>
      <c r="D56" s="8">
        <f>IF(In_Out!$D$11&lt;&gt;0, B56-(B56*In_Out!$D$10), In_Out!$D$7-(In_Out!$D$7*In_Out!$D$10))</f>
        <v>336402.93599999999</v>
      </c>
      <c r="E56" s="8">
        <f t="shared" ref="E56:E74" si="23">E55+D56</f>
        <v>989549.73600000003</v>
      </c>
      <c r="F56" s="9">
        <f t="shared" si="19"/>
        <v>151752.74400000001</v>
      </c>
      <c r="G56" s="8">
        <f>Calculations!J9</f>
        <v>130561.06975106068</v>
      </c>
      <c r="H56" s="51">
        <f t="shared" si="20"/>
        <v>21191.674248939322</v>
      </c>
      <c r="I56" s="51">
        <f t="shared" si="22"/>
        <v>54706.734746817907</v>
      </c>
      <c r="J56" s="51">
        <f t="shared" si="21"/>
        <v>-466964.00575106067</v>
      </c>
      <c r="K56" s="51">
        <f t="shared" ref="K56:K68" si="24">J56+K55</f>
        <v>-1841232.9452531822</v>
      </c>
      <c r="L56" s="9"/>
      <c r="M56" s="9"/>
      <c r="N56" s="37"/>
    </row>
    <row r="57" spans="1:14" ht="14.4" customHeight="1">
      <c r="A57" s="17">
        <v>4</v>
      </c>
      <c r="B57" s="9">
        <f t="shared" si="18"/>
        <v>497918.79359999998</v>
      </c>
      <c r="C57" s="9">
        <f>B57*In_Out!$D$11</f>
        <v>9958.3758720000005</v>
      </c>
      <c r="D57" s="8">
        <f>IF(In_Out!$D$11&lt;&gt;0, B57-(B57*In_Out!$D$10), In_Out!$D$7-(In_Out!$D$7*In_Out!$D$10))</f>
        <v>343130.99471999996</v>
      </c>
      <c r="E57" s="8">
        <f t="shared" si="23"/>
        <v>1332680.7307199999</v>
      </c>
      <c r="F57" s="9">
        <f t="shared" si="19"/>
        <v>154787.79888000002</v>
      </c>
      <c r="G57" s="8">
        <f>Calculations!J10</f>
        <v>130561.06975106068</v>
      </c>
      <c r="H57" s="51">
        <f t="shared" si="20"/>
        <v>24226.729128939332</v>
      </c>
      <c r="I57" s="51">
        <f t="shared" si="22"/>
        <v>78933.463875757239</v>
      </c>
      <c r="J57" s="51">
        <f t="shared" si="21"/>
        <v>-473692.06447106064</v>
      </c>
      <c r="K57" s="51">
        <f t="shared" si="24"/>
        <v>-2314925.0097242426</v>
      </c>
      <c r="L57" s="295" t="s">
        <v>99</v>
      </c>
      <c r="M57" s="296"/>
      <c r="N57" s="297"/>
    </row>
    <row r="58" spans="1:14">
      <c r="A58" s="18">
        <v>5</v>
      </c>
      <c r="B58" s="9">
        <f t="shared" si="18"/>
        <v>507877.16947199998</v>
      </c>
      <c r="C58" s="9">
        <f>B58*In_Out!$D$11</f>
        <v>10157.543389439999</v>
      </c>
      <c r="D58" s="8">
        <f>IF(In_Out!$D$11&lt;&gt;0, B58-(B58*In_Out!$D$10), In_Out!$D$7-(In_Out!$D$7*In_Out!$D$10))</f>
        <v>349993.61461439996</v>
      </c>
      <c r="E58" s="8">
        <f t="shared" si="23"/>
        <v>1682674.3453344</v>
      </c>
      <c r="F58" s="9">
        <f t="shared" si="19"/>
        <v>157883.55485760001</v>
      </c>
      <c r="G58" s="8">
        <f>Calculations!J11</f>
        <v>130561.06975106068</v>
      </c>
      <c r="H58" s="51">
        <f t="shared" si="20"/>
        <v>27322.48510653933</v>
      </c>
      <c r="I58" s="51">
        <f t="shared" si="22"/>
        <v>106255.94898229657</v>
      </c>
      <c r="J58" s="51">
        <f t="shared" si="21"/>
        <v>-480554.68436546065</v>
      </c>
      <c r="K58" s="51">
        <f t="shared" si="24"/>
        <v>-2795479.6940897033</v>
      </c>
      <c r="L58" s="295"/>
      <c r="M58" s="296"/>
      <c r="N58" s="297"/>
    </row>
    <row r="59" spans="1:14">
      <c r="A59" s="17">
        <v>6</v>
      </c>
      <c r="B59" s="9">
        <f t="shared" si="18"/>
        <v>518034.71286143997</v>
      </c>
      <c r="C59" s="9">
        <f>B59*In_Out!$D$11</f>
        <v>10360.694257228799</v>
      </c>
      <c r="D59" s="8">
        <f>IF(In_Out!$D$11&lt;&gt;0, B59-(B59*In_Out!$D$10), In_Out!$D$7-(In_Out!$D$7*In_Out!$D$10))</f>
        <v>356993.48690668796</v>
      </c>
      <c r="E59" s="8">
        <f t="shared" si="23"/>
        <v>2039667.8322410879</v>
      </c>
      <c r="F59" s="9">
        <f t="shared" si="19"/>
        <v>161041.22595475201</v>
      </c>
      <c r="G59" s="8">
        <f>Calculations!J12</f>
        <v>130561.06975106068</v>
      </c>
      <c r="H59" s="51">
        <f t="shared" si="20"/>
        <v>30480.156203691324</v>
      </c>
      <c r="I59" s="51">
        <f t="shared" si="22"/>
        <v>136736.10518598789</v>
      </c>
      <c r="J59" s="51">
        <f t="shared" si="21"/>
        <v>-487554.55665774865</v>
      </c>
      <c r="K59" s="51">
        <f t="shared" si="24"/>
        <v>-3283034.250747452</v>
      </c>
      <c r="L59" s="9"/>
      <c r="M59" s="9"/>
      <c r="N59" s="37"/>
    </row>
    <row r="60" spans="1:14">
      <c r="A60" s="18">
        <v>7</v>
      </c>
      <c r="B60" s="9">
        <f t="shared" si="18"/>
        <v>528395.40711866878</v>
      </c>
      <c r="C60" s="9">
        <f>B60*In_Out!$D$11</f>
        <v>10567.908142373375</v>
      </c>
      <c r="D60" s="8">
        <f>IF(In_Out!$D$11&lt;&gt;0, B60-(B60*In_Out!$D$10), In_Out!$D$7-(In_Out!$D$7*In_Out!$D$10))</f>
        <v>364133.35664482176</v>
      </c>
      <c r="E60" s="8">
        <f t="shared" si="23"/>
        <v>2403801.1888859095</v>
      </c>
      <c r="F60" s="9">
        <f t="shared" si="19"/>
        <v>164262.05047384702</v>
      </c>
      <c r="G60" s="8">
        <f>Calculations!J13</f>
        <v>0</v>
      </c>
      <c r="H60" s="51">
        <f t="shared" si="20"/>
        <v>164262.05047384702</v>
      </c>
      <c r="I60" s="51">
        <f t="shared" si="22"/>
        <v>300998.15565983491</v>
      </c>
      <c r="J60" s="51">
        <f t="shared" si="21"/>
        <v>-364133.35664482176</v>
      </c>
      <c r="K60" s="51">
        <f t="shared" si="24"/>
        <v>-3647167.6073922738</v>
      </c>
      <c r="L60" s="295" t="s">
        <v>100</v>
      </c>
      <c r="M60" s="296"/>
      <c r="N60" s="297"/>
    </row>
    <row r="61" spans="1:14">
      <c r="A61" s="17">
        <v>8</v>
      </c>
      <c r="B61" s="9">
        <f t="shared" si="18"/>
        <v>538963.31526104221</v>
      </c>
      <c r="C61" s="9">
        <f>B61*In_Out!$D$11</f>
        <v>10779.266305220845</v>
      </c>
      <c r="D61" s="8">
        <f>IF(In_Out!$D$11&lt;&gt;0, B61-(B61*In_Out!$D$10), In_Out!$D$7-(In_Out!$D$7*In_Out!$D$10))</f>
        <v>371416.02377771819</v>
      </c>
      <c r="E61" s="8">
        <f t="shared" si="23"/>
        <v>2775217.2126636277</v>
      </c>
      <c r="F61" s="9">
        <f t="shared" si="19"/>
        <v>167547.29148332402</v>
      </c>
      <c r="G61" s="8">
        <f>Calculations!J14</f>
        <v>0</v>
      </c>
      <c r="H61" s="51">
        <f t="shared" si="20"/>
        <v>167547.29148332402</v>
      </c>
      <c r="I61" s="51">
        <f t="shared" si="22"/>
        <v>468545.44714315893</v>
      </c>
      <c r="J61" s="51">
        <f t="shared" si="21"/>
        <v>-371416.02377771819</v>
      </c>
      <c r="K61" s="51">
        <f t="shared" si="24"/>
        <v>-4018583.631169992</v>
      </c>
      <c r="L61" s="295"/>
      <c r="M61" s="296"/>
      <c r="N61" s="297"/>
    </row>
    <row r="62" spans="1:14" ht="16.2" customHeight="1">
      <c r="A62" s="18">
        <v>9</v>
      </c>
      <c r="B62" s="9">
        <f t="shared" si="18"/>
        <v>549742.58156626311</v>
      </c>
      <c r="C62" s="9">
        <f>B62*In_Out!$D$11</f>
        <v>10994.851631325262</v>
      </c>
      <c r="D62" s="8">
        <f>IF(In_Out!$D$11&lt;&gt;0, B62-(B62*In_Out!$D$10), In_Out!$D$7-(In_Out!$D$7*In_Out!$D$10))</f>
        <v>378844.34425327263</v>
      </c>
      <c r="E62" s="8">
        <f t="shared" si="23"/>
        <v>3154061.5569169004</v>
      </c>
      <c r="F62" s="9">
        <f t="shared" si="19"/>
        <v>170898.23731299047</v>
      </c>
      <c r="G62" s="8">
        <f>Calculations!J15</f>
        <v>0</v>
      </c>
      <c r="H62" s="51">
        <f t="shared" si="20"/>
        <v>170898.23731299047</v>
      </c>
      <c r="I62" s="51">
        <f t="shared" si="22"/>
        <v>639443.68445614935</v>
      </c>
      <c r="J62" s="51">
        <f t="shared" si="21"/>
        <v>-378844.34425327263</v>
      </c>
      <c r="K62" s="51">
        <f t="shared" si="24"/>
        <v>-4397427.9754232643</v>
      </c>
      <c r="L62" s="39"/>
      <c r="M62" s="9"/>
      <c r="N62" s="37"/>
    </row>
    <row r="63" spans="1:14" ht="14.4" customHeight="1">
      <c r="A63" s="17">
        <v>10</v>
      </c>
      <c r="B63" s="9">
        <f t="shared" si="18"/>
        <v>560737.43319758843</v>
      </c>
      <c r="C63" s="9">
        <f>B63*In_Out!$D$11</f>
        <v>11214.748663951768</v>
      </c>
      <c r="D63" s="8">
        <f>IF(In_Out!$D$11&lt;&gt;0, B63-(B63*In_Out!$D$10), In_Out!$D$7-(In_Out!$D$7*In_Out!$D$10))</f>
        <v>386421.2311383381</v>
      </c>
      <c r="E63" s="8">
        <f t="shared" si="23"/>
        <v>3540482.7880552383</v>
      </c>
      <c r="F63" s="9">
        <f t="shared" si="19"/>
        <v>174316.20205925032</v>
      </c>
      <c r="G63" s="8">
        <f>Calculations!J16</f>
        <v>0</v>
      </c>
      <c r="H63" s="51">
        <f t="shared" si="20"/>
        <v>174316.20205925032</v>
      </c>
      <c r="I63" s="51">
        <f t="shared" si="22"/>
        <v>813759.88651539967</v>
      </c>
      <c r="J63" s="51">
        <f t="shared" si="21"/>
        <v>-386421.2311383381</v>
      </c>
      <c r="K63" s="51">
        <f t="shared" si="24"/>
        <v>-4783849.2065616027</v>
      </c>
      <c r="L63" s="9"/>
      <c r="M63" s="9"/>
      <c r="N63" s="37"/>
    </row>
    <row r="64" spans="1:14">
      <c r="A64" s="18">
        <v>11</v>
      </c>
      <c r="B64" s="9">
        <f t="shared" si="18"/>
        <v>571952.18186154019</v>
      </c>
      <c r="C64" s="9">
        <f>B64*In_Out!$D$11</f>
        <v>11439.043637230803</v>
      </c>
      <c r="D64" s="8">
        <f>IF(In_Out!$D$11&lt;&gt;0, B64-(B64*In_Out!$D$10), In_Out!$D$7-(In_Out!$D$7*In_Out!$D$10))</f>
        <v>394149.65576110489</v>
      </c>
      <c r="E64" s="8">
        <f t="shared" si="23"/>
        <v>3934632.4438163433</v>
      </c>
      <c r="F64" s="9">
        <f t="shared" si="19"/>
        <v>177802.52610043529</v>
      </c>
      <c r="G64" s="8">
        <f>Calculations!J17</f>
        <v>0</v>
      </c>
      <c r="H64" s="51">
        <f t="shared" si="20"/>
        <v>177802.52610043529</v>
      </c>
      <c r="I64" s="51">
        <f t="shared" si="22"/>
        <v>991562.41261583497</v>
      </c>
      <c r="J64" s="51">
        <f t="shared" si="21"/>
        <v>-394149.65576110489</v>
      </c>
      <c r="K64" s="51">
        <f t="shared" si="24"/>
        <v>-5177998.8623227077</v>
      </c>
      <c r="L64" s="9"/>
      <c r="M64" s="9"/>
      <c r="N64" s="37"/>
    </row>
    <row r="65" spans="1:14">
      <c r="A65" s="17">
        <v>12</v>
      </c>
      <c r="B65" s="9">
        <f t="shared" si="18"/>
        <v>583391.22549877095</v>
      </c>
      <c r="C65" s="9">
        <f>B65*In_Out!$D$11</f>
        <v>11667.824509975419</v>
      </c>
      <c r="D65" s="8">
        <f>IF(In_Out!$D$11&lt;&gt;0, B65-(B65*In_Out!$D$10), In_Out!$D$7-(In_Out!$D$7*In_Out!$D$10))</f>
        <v>402032.64887632697</v>
      </c>
      <c r="E65" s="8">
        <f t="shared" si="23"/>
        <v>4336665.0926926704</v>
      </c>
      <c r="F65" s="9">
        <f t="shared" si="19"/>
        <v>181358.57662244397</v>
      </c>
      <c r="G65" s="8">
        <f>Calculations!J18</f>
        <v>0</v>
      </c>
      <c r="H65" s="51">
        <f t="shared" si="20"/>
        <v>181358.57662244397</v>
      </c>
      <c r="I65" s="51">
        <f t="shared" si="22"/>
        <v>1172920.9892382789</v>
      </c>
      <c r="J65" s="51">
        <f t="shared" si="21"/>
        <v>-402032.64887632697</v>
      </c>
      <c r="K65" s="51">
        <f t="shared" si="24"/>
        <v>-5580031.5111990348</v>
      </c>
      <c r="L65" s="9"/>
      <c r="M65" s="9"/>
      <c r="N65" s="37"/>
    </row>
    <row r="66" spans="1:14">
      <c r="A66" s="18">
        <v>13</v>
      </c>
      <c r="B66" s="9">
        <f t="shared" si="18"/>
        <v>595059.05000874633</v>
      </c>
      <c r="C66" s="9">
        <f>B66*In_Out!$D$11</f>
        <v>11901.181000174927</v>
      </c>
      <c r="D66" s="8">
        <f>IF(In_Out!$D$11&lt;&gt;0, B66-(B66*In_Out!$D$10), In_Out!$D$7-(In_Out!$D$7*In_Out!$D$10))</f>
        <v>410073.30185385345</v>
      </c>
      <c r="E66" s="8">
        <f t="shared" si="23"/>
        <v>4746738.3945465237</v>
      </c>
      <c r="F66" s="9">
        <f t="shared" si="19"/>
        <v>184985.74815489288</v>
      </c>
      <c r="G66" s="8">
        <f>Calculations!J19</f>
        <v>0</v>
      </c>
      <c r="H66" s="51">
        <f t="shared" si="20"/>
        <v>184985.74815489288</v>
      </c>
      <c r="I66" s="51">
        <f t="shared" si="22"/>
        <v>1357906.7373931718</v>
      </c>
      <c r="J66" s="51">
        <f t="shared" si="21"/>
        <v>-410073.30185385345</v>
      </c>
      <c r="K66" s="51">
        <f t="shared" si="24"/>
        <v>-5990104.813052888</v>
      </c>
      <c r="L66" s="9"/>
      <c r="M66" s="9"/>
      <c r="N66" s="37"/>
    </row>
    <row r="67" spans="1:14">
      <c r="A67" s="17">
        <v>14</v>
      </c>
      <c r="B67" s="9">
        <f t="shared" si="18"/>
        <v>606960.23100892128</v>
      </c>
      <c r="C67" s="9">
        <f>B67*In_Out!$D$11</f>
        <v>12139.204620178425</v>
      </c>
      <c r="D67" s="8">
        <f>IF(In_Out!$D$11&lt;&gt;0, B67-(B67*In_Out!$D$10), In_Out!$D$7-(In_Out!$D$7*In_Out!$D$10))</f>
        <v>418274.76789093053</v>
      </c>
      <c r="E67" s="8">
        <f t="shared" si="23"/>
        <v>5165013.1624374539</v>
      </c>
      <c r="F67" s="9">
        <f t="shared" si="19"/>
        <v>188685.46311799076</v>
      </c>
      <c r="G67" s="8">
        <f>Calculations!J20</f>
        <v>0</v>
      </c>
      <c r="H67" s="51">
        <f t="shared" si="20"/>
        <v>188685.46311799076</v>
      </c>
      <c r="I67" s="51">
        <f t="shared" si="22"/>
        <v>1546592.2005111626</v>
      </c>
      <c r="J67" s="51">
        <f t="shared" si="21"/>
        <v>-418274.76789093053</v>
      </c>
      <c r="K67" s="51">
        <f t="shared" si="24"/>
        <v>-6408379.5809438182</v>
      </c>
      <c r="L67" s="9"/>
      <c r="M67" s="9"/>
      <c r="N67" s="37"/>
    </row>
    <row r="68" spans="1:14">
      <c r="A68" s="18">
        <v>15</v>
      </c>
      <c r="B68" s="9">
        <f t="shared" si="18"/>
        <v>619099.43562909972</v>
      </c>
      <c r="C68" s="9">
        <f>B68*In_Out!$D$11</f>
        <v>12381.988712581995</v>
      </c>
      <c r="D68" s="8">
        <f>IF(In_Out!$D$11&lt;&gt;0, B68-(B68*In_Out!$D$10), In_Out!$D$7-(In_Out!$D$7*In_Out!$D$10))</f>
        <v>426640.26324874919</v>
      </c>
      <c r="E68" s="8">
        <f t="shared" si="23"/>
        <v>5591653.4256862029</v>
      </c>
      <c r="F68" s="9">
        <f t="shared" si="19"/>
        <v>192459.17238035053</v>
      </c>
      <c r="G68" s="8">
        <f>Calculations!J21</f>
        <v>0</v>
      </c>
      <c r="H68" s="51">
        <f t="shared" si="20"/>
        <v>192459.17238035053</v>
      </c>
      <c r="I68" s="51">
        <f t="shared" si="22"/>
        <v>1739051.3728915132</v>
      </c>
      <c r="J68" s="51">
        <f t="shared" si="21"/>
        <v>-426640.26324874919</v>
      </c>
      <c r="K68" s="51">
        <f t="shared" si="24"/>
        <v>-6835019.8441925673</v>
      </c>
      <c r="L68" s="39"/>
      <c r="M68" s="9"/>
      <c r="N68" s="37"/>
    </row>
    <row r="69" spans="1:14">
      <c r="A69" s="17">
        <v>16</v>
      </c>
      <c r="B69" s="9">
        <f t="shared" ref="B69:B74" si="25">B68+C68</f>
        <v>631481.42434168176</v>
      </c>
      <c r="C69" s="9">
        <f>B69*In_Out!$D$11</f>
        <v>12629.628486833635</v>
      </c>
      <c r="D69" s="8">
        <f>IF(In_Out!$D$11&lt;&gt;0, B69-(B69*In_Out!$D$10), In_Out!$D$7-(In_Out!$D$7*In_Out!$D$10))</f>
        <v>435173.0685137242</v>
      </c>
      <c r="E69" s="8">
        <f t="shared" si="23"/>
        <v>6026826.494199927</v>
      </c>
      <c r="F69" s="9">
        <f t="shared" ref="F69:F74" si="26">B69-D69</f>
        <v>196308.35582795757</v>
      </c>
      <c r="G69" s="8">
        <f>Calculations!J22</f>
        <v>0</v>
      </c>
      <c r="H69" s="51">
        <f t="shared" ref="H69:H74" si="27">IF(G69&gt;=0,F69-G69,F69)</f>
        <v>196308.35582795757</v>
      </c>
      <c r="I69" s="51">
        <f t="shared" ref="I69:I74" si="28">I68+H69</f>
        <v>1935359.7287194708</v>
      </c>
      <c r="J69" s="51">
        <f t="shared" ref="J69:J74" si="29">-(D69+G69)</f>
        <v>-435173.0685137242</v>
      </c>
      <c r="K69" s="51">
        <f t="shared" ref="K69:K74" si="30">J69+K68</f>
        <v>-7270192.9127062913</v>
      </c>
      <c r="L69" s="9"/>
      <c r="M69" s="9"/>
      <c r="N69" s="37"/>
    </row>
    <row r="70" spans="1:14">
      <c r="A70" s="18">
        <v>17</v>
      </c>
      <c r="B70" s="9">
        <f t="shared" si="25"/>
        <v>644111.05282851541</v>
      </c>
      <c r="C70" s="9">
        <f>B70*In_Out!$D$11</f>
        <v>12882.221056570308</v>
      </c>
      <c r="D70" s="8">
        <f>IF(In_Out!$D$11&lt;&gt;0, B70-(B70*In_Out!$D$10), In_Out!$D$7-(In_Out!$D$7*In_Out!$D$10))</f>
        <v>443876.52988399868</v>
      </c>
      <c r="E70" s="8">
        <f t="shared" si="23"/>
        <v>6470703.0240839254</v>
      </c>
      <c r="F70" s="9">
        <f t="shared" si="26"/>
        <v>200234.52294451674</v>
      </c>
      <c r="G70" s="8">
        <f>Calculations!J23</f>
        <v>0</v>
      </c>
      <c r="H70" s="51">
        <f t="shared" si="27"/>
        <v>200234.52294451674</v>
      </c>
      <c r="I70" s="51">
        <f t="shared" si="28"/>
        <v>2135594.2516639875</v>
      </c>
      <c r="J70" s="51">
        <f t="shared" si="29"/>
        <v>-443876.52988399868</v>
      </c>
      <c r="K70" s="51">
        <f t="shared" si="30"/>
        <v>-7714069.4425902897</v>
      </c>
      <c r="L70" s="9"/>
      <c r="M70" s="9"/>
      <c r="N70" s="37"/>
    </row>
    <row r="71" spans="1:14">
      <c r="A71" s="17">
        <v>18</v>
      </c>
      <c r="B71" s="9">
        <f t="shared" si="25"/>
        <v>656993.27388508571</v>
      </c>
      <c r="C71" s="9">
        <f>B71*In_Out!$D$11</f>
        <v>13139.865477701715</v>
      </c>
      <c r="D71" s="8">
        <f>IF(In_Out!$D$11&lt;&gt;0, B71-(B71*In_Out!$D$10), In_Out!$D$7-(In_Out!$D$7*In_Out!$D$10))</f>
        <v>452754.06048167864</v>
      </c>
      <c r="E71" s="8">
        <f t="shared" si="23"/>
        <v>6923457.0845656041</v>
      </c>
      <c r="F71" s="9">
        <f t="shared" si="26"/>
        <v>204239.21340340708</v>
      </c>
      <c r="G71" s="8">
        <f>Calculations!J24</f>
        <v>0</v>
      </c>
      <c r="H71" s="51">
        <f t="shared" si="27"/>
        <v>204239.21340340708</v>
      </c>
      <c r="I71" s="51">
        <f t="shared" si="28"/>
        <v>2339833.4650673945</v>
      </c>
      <c r="J71" s="51">
        <f t="shared" si="29"/>
        <v>-452754.06048167864</v>
      </c>
      <c r="K71" s="51">
        <f t="shared" si="30"/>
        <v>-8166823.5030719684</v>
      </c>
      <c r="L71" s="9"/>
      <c r="M71" s="9"/>
      <c r="N71" s="37"/>
    </row>
    <row r="72" spans="1:14">
      <c r="A72" s="18">
        <v>19</v>
      </c>
      <c r="B72" s="9">
        <f t="shared" si="25"/>
        <v>670133.13936278748</v>
      </c>
      <c r="C72" s="9">
        <f>B72*In_Out!$D$11</f>
        <v>13402.662787255749</v>
      </c>
      <c r="D72" s="8">
        <f>IF(In_Out!$D$11&lt;&gt;0, B72-(B72*In_Out!$D$10), In_Out!$D$7-(In_Out!$D$7*In_Out!$D$10))</f>
        <v>461809.14169131225</v>
      </c>
      <c r="E72" s="8">
        <f t="shared" si="23"/>
        <v>7385266.2262569163</v>
      </c>
      <c r="F72" s="9">
        <f t="shared" si="26"/>
        <v>208323.99767147523</v>
      </c>
      <c r="G72" s="8">
        <f>Calculations!J25</f>
        <v>0</v>
      </c>
      <c r="H72" s="51">
        <f t="shared" si="27"/>
        <v>208323.99767147523</v>
      </c>
      <c r="I72" s="51">
        <f t="shared" si="28"/>
        <v>2548157.4627388697</v>
      </c>
      <c r="J72" s="51">
        <f t="shared" si="29"/>
        <v>-461809.14169131225</v>
      </c>
      <c r="K72" s="51">
        <f t="shared" si="30"/>
        <v>-8628632.6447632816</v>
      </c>
      <c r="L72" s="9"/>
      <c r="M72" s="9"/>
      <c r="N72" s="37"/>
    </row>
    <row r="73" spans="1:14">
      <c r="A73" s="17">
        <v>20</v>
      </c>
      <c r="B73" s="9">
        <f t="shared" si="25"/>
        <v>683535.80215004319</v>
      </c>
      <c r="C73" s="9">
        <f>B73*In_Out!$D$11</f>
        <v>13670.716043000864</v>
      </c>
      <c r="D73" s="8">
        <f>IF(In_Out!$D$11&lt;&gt;0, B73-(B73*In_Out!$D$10), In_Out!$D$7-(In_Out!$D$7*In_Out!$D$10))</f>
        <v>471045.32452513848</v>
      </c>
      <c r="E73" s="8">
        <f t="shared" si="23"/>
        <v>7856311.5507820547</v>
      </c>
      <c r="F73" s="9">
        <f t="shared" si="26"/>
        <v>212490.47762490471</v>
      </c>
      <c r="G73" s="8">
        <f>Calculations!J26</f>
        <v>0</v>
      </c>
      <c r="H73" s="51">
        <f t="shared" si="27"/>
        <v>212490.47762490471</v>
      </c>
      <c r="I73" s="51">
        <f t="shared" si="28"/>
        <v>2760647.9403637745</v>
      </c>
      <c r="J73" s="51">
        <f t="shared" si="29"/>
        <v>-471045.32452513848</v>
      </c>
      <c r="K73" s="51">
        <f t="shared" si="30"/>
        <v>-9099677.9692884199</v>
      </c>
      <c r="L73" s="9"/>
      <c r="M73" s="9"/>
      <c r="N73" s="37"/>
    </row>
    <row r="74" spans="1:14">
      <c r="A74" s="18">
        <v>21</v>
      </c>
      <c r="B74" s="9">
        <f t="shared" si="25"/>
        <v>697206.518193044</v>
      </c>
      <c r="C74" s="9">
        <f>B74*In_Out!$D$11</f>
        <v>13944.130363860881</v>
      </c>
      <c r="D74" s="8">
        <f>IF(In_Out!$D$11&lt;&gt;0, B74-(B74*In_Out!$D$10), In_Out!$D$7-(In_Out!$D$7*In_Out!$D$10))</f>
        <v>480466.23101564124</v>
      </c>
      <c r="E74" s="8">
        <f t="shared" si="23"/>
        <v>8336777.7817976959</v>
      </c>
      <c r="F74" s="9">
        <f t="shared" si="26"/>
        <v>216740.28717740276</v>
      </c>
      <c r="G74" s="8">
        <f>Calculations!J27</f>
        <v>0</v>
      </c>
      <c r="H74" s="51">
        <f t="shared" si="27"/>
        <v>216740.28717740276</v>
      </c>
      <c r="I74" s="51">
        <f t="shared" si="28"/>
        <v>2977388.2275411775</v>
      </c>
      <c r="J74" s="51">
        <f t="shared" si="29"/>
        <v>-480466.23101564124</v>
      </c>
      <c r="K74" s="51">
        <f t="shared" si="30"/>
        <v>-9580144.2003040612</v>
      </c>
      <c r="L74" s="9"/>
      <c r="M74" s="9"/>
      <c r="N74" s="37"/>
    </row>
    <row r="75" spans="1:14">
      <c r="A75" s="4"/>
      <c r="B75" s="4"/>
      <c r="C75" s="4"/>
      <c r="D75" s="6"/>
      <c r="E75" s="6"/>
      <c r="F75" s="6"/>
      <c r="G75" s="5"/>
      <c r="H75" s="52"/>
      <c r="I75" s="52"/>
      <c r="J75" s="51"/>
      <c r="K75" s="51"/>
      <c r="L75" s="39"/>
      <c r="M75" s="9"/>
      <c r="N75" s="37"/>
    </row>
    <row r="76" spans="1:14" ht="15" thickBot="1">
      <c r="A76" s="54" t="s">
        <v>81</v>
      </c>
      <c r="B76" s="56">
        <f>SUM(B54:B75)</f>
        <v>12097532.42784524</v>
      </c>
      <c r="C76" s="55">
        <f>(B68-B53)/B53</f>
        <v>0.34586833832412983</v>
      </c>
      <c r="D76" s="56">
        <f>SUM(D54:D75)</f>
        <v>8336777.7817976959</v>
      </c>
      <c r="E76" s="223">
        <f>E74</f>
        <v>8336777.7817976959</v>
      </c>
      <c r="F76" s="56">
        <f>SUM(F54:F74)</f>
        <v>3760754.6460475409</v>
      </c>
      <c r="G76" s="56">
        <f>SUM(G54:G74)</f>
        <v>783366.41850636411</v>
      </c>
      <c r="H76" s="53">
        <f>SUM(H54:H74)</f>
        <v>2977388.2275411775</v>
      </c>
      <c r="I76" s="53">
        <f>H76</f>
        <v>2977388.2275411775</v>
      </c>
      <c r="J76" s="53">
        <f>SUM(J53:J68)</f>
        <v>-6835019.8441925673</v>
      </c>
      <c r="K76" s="53">
        <f>K68</f>
        <v>-6835019.8441925673</v>
      </c>
      <c r="L76" s="40"/>
      <c r="M76" s="40"/>
      <c r="N76" s="38"/>
    </row>
    <row r="77" spans="1:14" ht="15" thickTop="1"/>
    <row r="78" spans="1:14">
      <c r="A78" s="1"/>
      <c r="B78" s="1"/>
      <c r="C78" s="1"/>
      <c r="D78" s="1"/>
      <c r="E78" s="1"/>
      <c r="F78" s="1"/>
      <c r="G78" s="1"/>
      <c r="H78" s="1"/>
      <c r="I78" s="1"/>
      <c r="J78" s="16"/>
    </row>
    <row r="79" spans="1:14" ht="45.6" customHeight="1" thickBot="1">
      <c r="A79" s="184"/>
      <c r="B79" s="184"/>
      <c r="C79" s="301" t="s">
        <v>133</v>
      </c>
      <c r="D79" s="301"/>
      <c r="E79" s="301"/>
      <c r="F79" s="301"/>
      <c r="G79" s="184"/>
      <c r="H79" s="184"/>
      <c r="I79" s="184"/>
      <c r="J79" s="184"/>
      <c r="K79" s="184"/>
      <c r="L79" s="185"/>
      <c r="M79" s="185"/>
      <c r="N79" s="185"/>
    </row>
    <row r="80" spans="1:14" ht="24" customHeight="1" thickTop="1">
      <c r="A80" s="3"/>
      <c r="B80" s="291" t="s">
        <v>13</v>
      </c>
      <c r="C80" s="291"/>
      <c r="D80" s="44" t="s">
        <v>17</v>
      </c>
      <c r="E80" s="44"/>
      <c r="F80" s="44"/>
      <c r="G80" s="3"/>
      <c r="H80" s="57"/>
      <c r="I80" s="57"/>
      <c r="J80" s="57"/>
      <c r="K80" s="57"/>
      <c r="L80" s="41" t="s">
        <v>94</v>
      </c>
      <c r="M80" s="3"/>
      <c r="N80" s="35"/>
    </row>
    <row r="81" spans="1:14" ht="41.4" customHeight="1">
      <c r="A81" s="7" t="s">
        <v>77</v>
      </c>
      <c r="B81" s="7" t="s">
        <v>89</v>
      </c>
      <c r="C81" s="7" t="s">
        <v>75</v>
      </c>
      <c r="D81" s="7" t="s">
        <v>90</v>
      </c>
      <c r="E81" s="7"/>
      <c r="F81" s="7" t="s">
        <v>14</v>
      </c>
      <c r="G81" s="7" t="s">
        <v>16</v>
      </c>
      <c r="H81" s="50" t="s">
        <v>152</v>
      </c>
      <c r="I81" s="50" t="s">
        <v>153</v>
      </c>
      <c r="J81" s="50" t="s">
        <v>79</v>
      </c>
      <c r="K81" s="50" t="s">
        <v>76</v>
      </c>
      <c r="L81" s="7"/>
      <c r="M81" s="7"/>
      <c r="N81" s="36"/>
    </row>
    <row r="82" spans="1:14" ht="19.2" customHeight="1">
      <c r="A82" s="17">
        <v>0</v>
      </c>
      <c r="B82" s="45">
        <f>In_Out!$D$7</f>
        <v>460000</v>
      </c>
      <c r="C82" s="8">
        <f>B82*In_Out!$D$11</f>
        <v>9200</v>
      </c>
      <c r="D82" s="8">
        <f>IF(A82&gt;5,IF(In_Out!$D$11&lt;&gt;0,B82-(B82*In_Out!$D$10),In_Out!$D$7-(In_Out!$D$7*In_Out!$D$10)),0)</f>
        <v>0</v>
      </c>
      <c r="E82" s="11"/>
      <c r="F82" s="45">
        <f>IF(D82=0,0,B82-D82)</f>
        <v>0</v>
      </c>
      <c r="G82" s="46">
        <v>0</v>
      </c>
      <c r="H82" s="50"/>
      <c r="I82" s="50"/>
      <c r="J82" s="51">
        <f>-SUM(IF(D82&gt;0,D82,B82)+G82)</f>
        <v>-460000</v>
      </c>
      <c r="K82" s="51">
        <f>J82</f>
        <v>-460000</v>
      </c>
      <c r="L82" s="292" t="s">
        <v>134</v>
      </c>
      <c r="M82" s="293"/>
      <c r="N82" s="294"/>
    </row>
    <row r="83" spans="1:14" s="21" customFormat="1">
      <c r="A83" s="18">
        <v>1</v>
      </c>
      <c r="B83" s="8">
        <f t="shared" ref="B83:B103" si="31">B82+C82</f>
        <v>469200</v>
      </c>
      <c r="C83" s="8">
        <f>B83*In_Out!$D$11</f>
        <v>9384</v>
      </c>
      <c r="D83" s="8">
        <f>IF(A83&gt;5,IF(In_Out!$D$11&lt;&gt;0,B83-(B83*In_Out!$D$10),In_Out!$D$7-(In_Out!$D$7*In_Out!$D$10)),0)</f>
        <v>0</v>
      </c>
      <c r="E83" s="8"/>
      <c r="F83" s="45">
        <f t="shared" ref="F83:F97" si="32">IF(D83=0,0,B83-D83)</f>
        <v>0</v>
      </c>
      <c r="G83" s="8">
        <v>0</v>
      </c>
      <c r="H83" s="51">
        <f t="shared" ref="H83:H97" si="33">IF(G83&gt;=0,F83-G83,F83)</f>
        <v>0</v>
      </c>
      <c r="I83" s="51">
        <f>H83</f>
        <v>0</v>
      </c>
      <c r="J83" s="51">
        <f t="shared" ref="J83:J97" si="34">-SUM(IF(D83&gt;0,D83,B83)+G83)</f>
        <v>-469200</v>
      </c>
      <c r="K83" s="51">
        <f>J83+K82</f>
        <v>-929200</v>
      </c>
      <c r="L83" s="292"/>
      <c r="M83" s="293"/>
      <c r="N83" s="294"/>
    </row>
    <row r="84" spans="1:14">
      <c r="A84" s="17">
        <v>2</v>
      </c>
      <c r="B84" s="9">
        <f t="shared" si="31"/>
        <v>478584</v>
      </c>
      <c r="C84" s="9">
        <f>B84*In_Out!$D$11</f>
        <v>9571.68</v>
      </c>
      <c r="D84" s="8">
        <f>IF(A84&gt;5,IF(In_Out!$D$11&lt;&gt;0,B84-(B84*In_Out!$D$10),In_Out!$D$7-(In_Out!$D$7*In_Out!$D$10)),0)</f>
        <v>0</v>
      </c>
      <c r="E84" s="8"/>
      <c r="F84" s="45">
        <f t="shared" si="32"/>
        <v>0</v>
      </c>
      <c r="G84" s="8">
        <v>0</v>
      </c>
      <c r="H84" s="51">
        <f t="shared" si="33"/>
        <v>0</v>
      </c>
      <c r="I84" s="51">
        <f t="shared" ref="I84:I97" si="35">I83+H84</f>
        <v>0</v>
      </c>
      <c r="J84" s="51">
        <f t="shared" si="34"/>
        <v>-478584</v>
      </c>
      <c r="K84" s="51">
        <f>J84+K83</f>
        <v>-1407784</v>
      </c>
      <c r="L84" s="292"/>
      <c r="M84" s="293"/>
      <c r="N84" s="294"/>
    </row>
    <row r="85" spans="1:14">
      <c r="A85" s="18">
        <v>3</v>
      </c>
      <c r="B85" s="9">
        <f t="shared" si="31"/>
        <v>488155.68</v>
      </c>
      <c r="C85" s="9">
        <f>B85*In_Out!$D$11</f>
        <v>9763.1136000000006</v>
      </c>
      <c r="D85" s="8">
        <f>IF(A85&gt;5,IF(In_Out!$D$11&lt;&gt;0,B85-(B85*In_Out!$D$10),In_Out!$D$7-(In_Out!$D$7*In_Out!$D$10)),0)</f>
        <v>0</v>
      </c>
      <c r="E85" s="8"/>
      <c r="F85" s="45">
        <f t="shared" si="32"/>
        <v>0</v>
      </c>
      <c r="G85" s="8">
        <v>0</v>
      </c>
      <c r="H85" s="51">
        <f t="shared" si="33"/>
        <v>0</v>
      </c>
      <c r="I85" s="51">
        <f t="shared" si="35"/>
        <v>0</v>
      </c>
      <c r="J85" s="51">
        <f t="shared" si="34"/>
        <v>-488155.68</v>
      </c>
      <c r="K85" s="51">
        <f t="shared" ref="K85:K97" si="36">J85+K84</f>
        <v>-1895939.68</v>
      </c>
      <c r="L85" s="9"/>
      <c r="M85" s="9"/>
      <c r="N85" s="37"/>
    </row>
    <row r="86" spans="1:14">
      <c r="A86" s="17">
        <v>4</v>
      </c>
      <c r="B86" s="9">
        <f t="shared" si="31"/>
        <v>497918.79359999998</v>
      </c>
      <c r="C86" s="9">
        <f>B86*In_Out!$D$11</f>
        <v>9958.3758720000005</v>
      </c>
      <c r="D86" s="8">
        <f>IF(A86&gt;5,IF(In_Out!$D$11&lt;&gt;0,B86-(B86*In_Out!$D$10),In_Out!$D$7-(In_Out!$D$7*In_Out!$D$10)),0)</f>
        <v>0</v>
      </c>
      <c r="E86" s="8"/>
      <c r="F86" s="45">
        <f t="shared" si="32"/>
        <v>0</v>
      </c>
      <c r="G86" s="8">
        <v>0</v>
      </c>
      <c r="H86" s="51">
        <f t="shared" si="33"/>
        <v>0</v>
      </c>
      <c r="I86" s="51">
        <f t="shared" si="35"/>
        <v>0</v>
      </c>
      <c r="J86" s="51">
        <f t="shared" si="34"/>
        <v>-497918.79359999998</v>
      </c>
      <c r="K86" s="51">
        <f t="shared" si="36"/>
        <v>-2393858.4736000001</v>
      </c>
      <c r="L86" s="295" t="s">
        <v>135</v>
      </c>
      <c r="M86" s="296"/>
      <c r="N86" s="297"/>
    </row>
    <row r="87" spans="1:14">
      <c r="A87" s="18">
        <v>5</v>
      </c>
      <c r="B87" s="9">
        <f t="shared" si="31"/>
        <v>507877.16947199998</v>
      </c>
      <c r="C87" s="9">
        <f>B87*In_Out!$D$11</f>
        <v>10157.543389439999</v>
      </c>
      <c r="D87" s="8">
        <f>IF(A87&gt;5,IF(In_Out!$D$11&lt;&gt;0,B87-(B87*In_Out!$D$10),In_Out!$D$7-(In_Out!$D$7*In_Out!$D$10)),0)</f>
        <v>0</v>
      </c>
      <c r="E87" s="8"/>
      <c r="F87" s="45">
        <f t="shared" si="32"/>
        <v>0</v>
      </c>
      <c r="G87" s="8">
        <v>0</v>
      </c>
      <c r="H87" s="51">
        <f t="shared" si="33"/>
        <v>0</v>
      </c>
      <c r="I87" s="51">
        <f t="shared" si="35"/>
        <v>0</v>
      </c>
      <c r="J87" s="51">
        <f t="shared" si="34"/>
        <v>-507877.16947199998</v>
      </c>
      <c r="K87" s="51">
        <f t="shared" si="36"/>
        <v>-2901735.6430720002</v>
      </c>
      <c r="L87" s="295"/>
      <c r="M87" s="296"/>
      <c r="N87" s="297"/>
    </row>
    <row r="88" spans="1:14" ht="14.4" customHeight="1">
      <c r="A88" s="17">
        <v>6</v>
      </c>
      <c r="B88" s="9">
        <f t="shared" si="31"/>
        <v>518034.71286143997</v>
      </c>
      <c r="C88" s="9">
        <f>B88*In_Out!$D$11</f>
        <v>10360.694257228799</v>
      </c>
      <c r="D88" s="8">
        <f>IF(A88&gt;5,IF(In_Out!$D$11&lt;&gt;0,B88-(B88*In_Out!$D$10),In_Out!$D$7-(In_Out!$D$7*In_Out!$D$10)),0)</f>
        <v>356993.48690668796</v>
      </c>
      <c r="E88" s="8"/>
      <c r="F88" s="45">
        <f t="shared" si="32"/>
        <v>161041.22595475201</v>
      </c>
      <c r="G88" s="8">
        <f>Calculations!J7</f>
        <v>130561.06975106068</v>
      </c>
      <c r="H88" s="51">
        <f t="shared" si="33"/>
        <v>30480.156203691324</v>
      </c>
      <c r="I88" s="51">
        <f t="shared" si="35"/>
        <v>30480.156203691324</v>
      </c>
      <c r="J88" s="51">
        <f t="shared" si="34"/>
        <v>-487554.55665774865</v>
      </c>
      <c r="K88" s="51">
        <f t="shared" si="36"/>
        <v>-3389290.199729749</v>
      </c>
      <c r="L88" s="9"/>
      <c r="M88" s="9"/>
      <c r="N88" s="37"/>
    </row>
    <row r="89" spans="1:14">
      <c r="A89" s="18">
        <v>7</v>
      </c>
      <c r="B89" s="9">
        <f t="shared" si="31"/>
        <v>528395.40711866878</v>
      </c>
      <c r="C89" s="9">
        <f>B89*In_Out!$D$11</f>
        <v>10567.908142373375</v>
      </c>
      <c r="D89" s="8">
        <f>IF(A89&gt;5,IF(In_Out!$D$11&lt;&gt;0,B89-(B89*In_Out!$D$10),In_Out!$D$7-(In_Out!$D$7*In_Out!$D$10)),0)</f>
        <v>364133.35664482176</v>
      </c>
      <c r="E89" s="8"/>
      <c r="F89" s="45">
        <f t="shared" si="32"/>
        <v>164262.05047384702</v>
      </c>
      <c r="G89" s="8">
        <f>Calculations!J8</f>
        <v>130561.06975106068</v>
      </c>
      <c r="H89" s="51">
        <f t="shared" si="33"/>
        <v>33700.980722786335</v>
      </c>
      <c r="I89" s="51">
        <f t="shared" si="35"/>
        <v>64181.136926477659</v>
      </c>
      <c r="J89" s="51">
        <f t="shared" si="34"/>
        <v>-494694.42639588244</v>
      </c>
      <c r="K89" s="51">
        <f t="shared" si="36"/>
        <v>-3883984.6261256314</v>
      </c>
      <c r="L89" s="295" t="s">
        <v>136</v>
      </c>
      <c r="M89" s="296"/>
      <c r="N89" s="297"/>
    </row>
    <row r="90" spans="1:14">
      <c r="A90" s="17">
        <v>8</v>
      </c>
      <c r="B90" s="9">
        <f t="shared" si="31"/>
        <v>538963.31526104221</v>
      </c>
      <c r="C90" s="9">
        <f>B90*In_Out!$D$11</f>
        <v>10779.266305220845</v>
      </c>
      <c r="D90" s="8">
        <f>IF(A90&gt;5,IF(In_Out!$D$11&lt;&gt;0,B90-(B90*In_Out!$D$10),In_Out!$D$7-(In_Out!$D$7*In_Out!$D$10)),0)</f>
        <v>371416.02377771819</v>
      </c>
      <c r="E90" s="8"/>
      <c r="F90" s="45">
        <f t="shared" si="32"/>
        <v>167547.29148332402</v>
      </c>
      <c r="G90" s="8">
        <f>Calculations!J9</f>
        <v>130561.06975106068</v>
      </c>
      <c r="H90" s="51">
        <f t="shared" si="33"/>
        <v>36986.221732263337</v>
      </c>
      <c r="I90" s="51">
        <f t="shared" si="35"/>
        <v>101167.358658741</v>
      </c>
      <c r="J90" s="51">
        <f t="shared" si="34"/>
        <v>-501977.09352877887</v>
      </c>
      <c r="K90" s="51">
        <f t="shared" si="36"/>
        <v>-4385961.7196544101</v>
      </c>
      <c r="L90" s="295"/>
      <c r="M90" s="296"/>
      <c r="N90" s="297"/>
    </row>
    <row r="91" spans="1:14">
      <c r="A91" s="18">
        <v>9</v>
      </c>
      <c r="B91" s="9">
        <f t="shared" si="31"/>
        <v>549742.58156626311</v>
      </c>
      <c r="C91" s="9">
        <f>B91*In_Out!$D$11</f>
        <v>10994.851631325262</v>
      </c>
      <c r="D91" s="8">
        <f>IF(A91&gt;5,IF(In_Out!$D$11&lt;&gt;0,B91-(B91*In_Out!$D$10),In_Out!$D$7-(In_Out!$D$7*In_Out!$D$10)),0)</f>
        <v>378844.34425327263</v>
      </c>
      <c r="E91" s="8"/>
      <c r="F91" s="45">
        <f t="shared" si="32"/>
        <v>170898.23731299047</v>
      </c>
      <c r="G91" s="8">
        <f>Calculations!J10</f>
        <v>130561.06975106068</v>
      </c>
      <c r="H91" s="51">
        <f t="shared" si="33"/>
        <v>40337.167561929789</v>
      </c>
      <c r="I91" s="51">
        <f t="shared" si="35"/>
        <v>141504.52622067078</v>
      </c>
      <c r="J91" s="51">
        <f t="shared" si="34"/>
        <v>-509405.41400433332</v>
      </c>
      <c r="K91" s="51">
        <f t="shared" si="36"/>
        <v>-4895367.1336587435</v>
      </c>
      <c r="L91" s="39"/>
      <c r="M91" s="9"/>
      <c r="N91" s="37"/>
    </row>
    <row r="92" spans="1:14">
      <c r="A92" s="17">
        <v>10</v>
      </c>
      <c r="B92" s="9">
        <f t="shared" si="31"/>
        <v>560737.43319758843</v>
      </c>
      <c r="C92" s="9">
        <f>B92*In_Out!$D$11</f>
        <v>11214.748663951768</v>
      </c>
      <c r="D92" s="8">
        <f>IF(A92&gt;5,IF(In_Out!$D$11&lt;&gt;0,B92-(B92*In_Out!$D$10),In_Out!$D$7-(In_Out!$D$7*In_Out!$D$10)),0)</f>
        <v>386421.2311383381</v>
      </c>
      <c r="E92" s="8"/>
      <c r="F92" s="45">
        <f t="shared" si="32"/>
        <v>174316.20205925032</v>
      </c>
      <c r="G92" s="8">
        <f>Calculations!J11</f>
        <v>130561.06975106068</v>
      </c>
      <c r="H92" s="51">
        <f t="shared" si="33"/>
        <v>43755.132308189641</v>
      </c>
      <c r="I92" s="51">
        <f t="shared" si="35"/>
        <v>185259.65852886043</v>
      </c>
      <c r="J92" s="51">
        <f t="shared" si="34"/>
        <v>-516982.30088939879</v>
      </c>
      <c r="K92" s="51">
        <f t="shared" si="36"/>
        <v>-5412349.4345481424</v>
      </c>
      <c r="L92" s="9"/>
      <c r="M92" s="9"/>
      <c r="N92" s="37"/>
    </row>
    <row r="93" spans="1:14">
      <c r="A93" s="18">
        <v>11</v>
      </c>
      <c r="B93" s="9">
        <f t="shared" si="31"/>
        <v>571952.18186154019</v>
      </c>
      <c r="C93" s="9">
        <f>B93*In_Out!$D$11</f>
        <v>11439.043637230803</v>
      </c>
      <c r="D93" s="8">
        <f>IF(A93&gt;5,IF(In_Out!$D$11&lt;&gt;0,B93-(B93*In_Out!$D$10),In_Out!$D$7-(In_Out!$D$7*In_Out!$D$10)),0)</f>
        <v>394149.65576110489</v>
      </c>
      <c r="E93" s="8"/>
      <c r="F93" s="45">
        <f t="shared" si="32"/>
        <v>177802.52610043529</v>
      </c>
      <c r="G93" s="8">
        <f>Calculations!J12</f>
        <v>130561.06975106068</v>
      </c>
      <c r="H93" s="51">
        <f t="shared" si="33"/>
        <v>47241.45634937461</v>
      </c>
      <c r="I93" s="51">
        <f t="shared" si="35"/>
        <v>232501.11487823504</v>
      </c>
      <c r="J93" s="51">
        <f t="shared" si="34"/>
        <v>-524710.72551216558</v>
      </c>
      <c r="K93" s="51">
        <f t="shared" si="36"/>
        <v>-5937060.1600603079</v>
      </c>
      <c r="L93" s="9"/>
      <c r="M93" s="9"/>
      <c r="N93" s="37"/>
    </row>
    <row r="94" spans="1:14">
      <c r="A94" s="17">
        <v>12</v>
      </c>
      <c r="B94" s="9">
        <f t="shared" si="31"/>
        <v>583391.22549877095</v>
      </c>
      <c r="C94" s="9">
        <f>B94*In_Out!$D$11</f>
        <v>11667.824509975419</v>
      </c>
      <c r="D94" s="8">
        <f>IF(A94&gt;5,IF(In_Out!$D$11&lt;&gt;0,B94-(B94*In_Out!$D$10),In_Out!$D$7-(In_Out!$D$7*In_Out!$D$10)),0)</f>
        <v>402032.64887632697</v>
      </c>
      <c r="E94" s="8"/>
      <c r="F94" s="45">
        <f t="shared" si="32"/>
        <v>181358.57662244397</v>
      </c>
      <c r="G94" s="8">
        <f>Calculations!J13</f>
        <v>0</v>
      </c>
      <c r="H94" s="51">
        <f t="shared" si="33"/>
        <v>181358.57662244397</v>
      </c>
      <c r="I94" s="51">
        <f t="shared" si="35"/>
        <v>413859.69150067901</v>
      </c>
      <c r="J94" s="51">
        <f t="shared" si="34"/>
        <v>-402032.64887632697</v>
      </c>
      <c r="K94" s="51">
        <f t="shared" si="36"/>
        <v>-6339092.808936635</v>
      </c>
      <c r="L94" s="9"/>
      <c r="M94" s="9"/>
      <c r="N94" s="37"/>
    </row>
    <row r="95" spans="1:14">
      <c r="A95" s="18">
        <v>13</v>
      </c>
      <c r="B95" s="9">
        <f t="shared" si="31"/>
        <v>595059.05000874633</v>
      </c>
      <c r="C95" s="9">
        <f>B95*In_Out!$D$11</f>
        <v>11901.181000174927</v>
      </c>
      <c r="D95" s="8">
        <f>IF(A95&gt;5,IF(In_Out!$D$11&lt;&gt;0,B95-(B95*In_Out!$D$10),In_Out!$D$7-(In_Out!$D$7*In_Out!$D$10)),0)</f>
        <v>410073.30185385345</v>
      </c>
      <c r="E95" s="8"/>
      <c r="F95" s="45">
        <f t="shared" si="32"/>
        <v>184985.74815489288</v>
      </c>
      <c r="G95" s="8">
        <f>Calculations!J14</f>
        <v>0</v>
      </c>
      <c r="H95" s="51">
        <f t="shared" si="33"/>
        <v>184985.74815489288</v>
      </c>
      <c r="I95" s="51">
        <f t="shared" si="35"/>
        <v>598845.43965557194</v>
      </c>
      <c r="J95" s="51">
        <f t="shared" si="34"/>
        <v>-410073.30185385345</v>
      </c>
      <c r="K95" s="51">
        <f t="shared" si="36"/>
        <v>-6749166.1107904883</v>
      </c>
      <c r="L95" s="9"/>
      <c r="M95" s="9"/>
      <c r="N95" s="37"/>
    </row>
    <row r="96" spans="1:14">
      <c r="A96" s="17">
        <v>14</v>
      </c>
      <c r="B96" s="9">
        <f t="shared" si="31"/>
        <v>606960.23100892128</v>
      </c>
      <c r="C96" s="9">
        <f>B96*In_Out!$D$11</f>
        <v>12139.204620178425</v>
      </c>
      <c r="D96" s="8">
        <f>IF(A96&gt;5,IF(In_Out!$D$11&lt;&gt;0,B96-(B96*In_Out!$D$10),In_Out!$D$7-(In_Out!$D$7*In_Out!$D$10)),0)</f>
        <v>418274.76789093053</v>
      </c>
      <c r="E96" s="8"/>
      <c r="F96" s="45">
        <f t="shared" si="32"/>
        <v>188685.46311799076</v>
      </c>
      <c r="G96" s="8">
        <f>Calculations!J15</f>
        <v>0</v>
      </c>
      <c r="H96" s="51">
        <f t="shared" si="33"/>
        <v>188685.46311799076</v>
      </c>
      <c r="I96" s="51">
        <f t="shared" si="35"/>
        <v>787530.9027735627</v>
      </c>
      <c r="J96" s="51">
        <f t="shared" si="34"/>
        <v>-418274.76789093053</v>
      </c>
      <c r="K96" s="51">
        <f t="shared" si="36"/>
        <v>-7167440.8786814185</v>
      </c>
      <c r="L96" s="9"/>
      <c r="M96" s="9"/>
      <c r="N96" s="37"/>
    </row>
    <row r="97" spans="1:14">
      <c r="A97" s="18">
        <v>15</v>
      </c>
      <c r="B97" s="9">
        <f t="shared" si="31"/>
        <v>619099.43562909972</v>
      </c>
      <c r="C97" s="9">
        <f>B97*In_Out!$D$11</f>
        <v>12381.988712581995</v>
      </c>
      <c r="D97" s="8">
        <f>IF(A97&gt;5,IF(In_Out!$D$11&lt;&gt;0,B97-(B97*In_Out!$D$10),In_Out!$D$7-(In_Out!$D$7*In_Out!$D$10)),0)</f>
        <v>426640.26324874919</v>
      </c>
      <c r="E97" s="8"/>
      <c r="F97" s="45">
        <f t="shared" si="32"/>
        <v>192459.17238035053</v>
      </c>
      <c r="G97" s="8">
        <f>Calculations!J16</f>
        <v>0</v>
      </c>
      <c r="H97" s="51">
        <f t="shared" si="33"/>
        <v>192459.17238035053</v>
      </c>
      <c r="I97" s="51">
        <f t="shared" si="35"/>
        <v>979990.07515391323</v>
      </c>
      <c r="J97" s="51">
        <f t="shared" si="34"/>
        <v>-426640.26324874919</v>
      </c>
      <c r="K97" s="51">
        <f t="shared" si="36"/>
        <v>-7594081.1419301676</v>
      </c>
      <c r="L97" s="39"/>
      <c r="M97" s="9"/>
      <c r="N97" s="37"/>
    </row>
    <row r="98" spans="1:14">
      <c r="A98" s="17">
        <v>16</v>
      </c>
      <c r="B98" s="9">
        <f t="shared" si="31"/>
        <v>631481.42434168176</v>
      </c>
      <c r="C98" s="9">
        <f>B98*In_Out!$D$11</f>
        <v>12629.628486833635</v>
      </c>
      <c r="D98" s="8">
        <f>IF(A98&gt;5,IF(In_Out!$D$11&lt;&gt;0,B98-(B98*In_Out!$D$10),In_Out!$D$7-(In_Out!$D$7*In_Out!$D$10)),0)</f>
        <v>435173.0685137242</v>
      </c>
      <c r="E98" s="8"/>
      <c r="F98" s="45"/>
      <c r="G98" s="8"/>
      <c r="H98" s="51"/>
      <c r="I98" s="51"/>
      <c r="J98" s="51"/>
      <c r="K98" s="51"/>
      <c r="L98" s="9"/>
      <c r="M98" s="9"/>
      <c r="N98" s="37"/>
    </row>
    <row r="99" spans="1:14">
      <c r="A99" s="18">
        <v>17</v>
      </c>
      <c r="B99" s="9">
        <f t="shared" si="31"/>
        <v>644111.05282851541</v>
      </c>
      <c r="C99" s="9">
        <f>B99*In_Out!$D$11</f>
        <v>12882.221056570308</v>
      </c>
      <c r="D99" s="8">
        <f>IF(A99&gt;5,IF(In_Out!$D$11&lt;&gt;0,B99-(B99*In_Out!$D$10),In_Out!$D$7-(In_Out!$D$7*In_Out!$D$10)),0)</f>
        <v>443876.52988399868</v>
      </c>
      <c r="E99" s="8"/>
      <c r="F99" s="45"/>
      <c r="G99" s="8"/>
      <c r="H99" s="51"/>
      <c r="I99" s="51"/>
      <c r="J99" s="51"/>
      <c r="K99" s="51"/>
      <c r="L99" s="9"/>
      <c r="M99" s="9"/>
      <c r="N99" s="37"/>
    </row>
    <row r="100" spans="1:14">
      <c r="A100" s="17">
        <v>18</v>
      </c>
      <c r="B100" s="9">
        <f t="shared" si="31"/>
        <v>656993.27388508571</v>
      </c>
      <c r="C100" s="9">
        <f>B100*In_Out!$D$11</f>
        <v>13139.865477701715</v>
      </c>
      <c r="D100" s="8">
        <f>IF(A100&gt;5,IF(In_Out!$D$11&lt;&gt;0,B100-(B100*In_Out!$D$10),In_Out!$D$7-(In_Out!$D$7*In_Out!$D$10)),0)</f>
        <v>452754.06048167864</v>
      </c>
      <c r="E100" s="8"/>
      <c r="F100" s="45"/>
      <c r="G100" s="8"/>
      <c r="H100" s="51"/>
      <c r="I100" s="51"/>
      <c r="J100" s="51"/>
      <c r="K100" s="51"/>
      <c r="L100" s="9"/>
      <c r="M100" s="9"/>
      <c r="N100" s="37"/>
    </row>
    <row r="101" spans="1:14">
      <c r="A101" s="18">
        <v>19</v>
      </c>
      <c r="B101" s="9">
        <f t="shared" si="31"/>
        <v>670133.13936278748</v>
      </c>
      <c r="C101" s="9">
        <f>B101*In_Out!$D$11</f>
        <v>13402.662787255749</v>
      </c>
      <c r="D101" s="8">
        <f>IF(A101&gt;5,IF(In_Out!$D$11&lt;&gt;0,B101-(B101*In_Out!$D$10),In_Out!$D$7-(In_Out!$D$7*In_Out!$D$10)),0)</f>
        <v>461809.14169131225</v>
      </c>
      <c r="E101" s="8"/>
      <c r="F101" s="6"/>
      <c r="G101" s="5"/>
      <c r="H101" s="52"/>
      <c r="I101" s="52"/>
      <c r="J101" s="51"/>
      <c r="K101" s="51"/>
      <c r="L101" s="9"/>
      <c r="M101" s="9"/>
      <c r="N101" s="37"/>
    </row>
    <row r="102" spans="1:14">
      <c r="A102" s="17">
        <v>20</v>
      </c>
      <c r="B102" s="9">
        <f t="shared" si="31"/>
        <v>683535.80215004319</v>
      </c>
      <c r="C102" s="9">
        <f>B102*In_Out!$D$11</f>
        <v>13670.716043000864</v>
      </c>
      <c r="D102" s="8">
        <f>IF(A102&gt;5,IF(In_Out!$D$11&lt;&gt;0,B102-(B102*In_Out!$D$10),In_Out!$D$7-(In_Out!$D$7*In_Out!$D$10)),0)</f>
        <v>471045.32452513848</v>
      </c>
      <c r="E102" s="8"/>
      <c r="F102" s="6"/>
      <c r="G102" s="5"/>
      <c r="H102" s="52"/>
      <c r="I102" s="52"/>
      <c r="J102" s="51"/>
      <c r="K102" s="51"/>
      <c r="L102" s="9"/>
      <c r="M102" s="9"/>
      <c r="N102" s="37"/>
    </row>
    <row r="103" spans="1:14">
      <c r="A103" s="18">
        <v>21</v>
      </c>
      <c r="B103" s="9">
        <f t="shared" si="31"/>
        <v>697206.518193044</v>
      </c>
      <c r="C103" s="9">
        <f>B103*In_Out!$D$11</f>
        <v>13944.130363860881</v>
      </c>
      <c r="D103" s="8">
        <f>IF(A103&gt;5,IF(In_Out!$D$11&lt;&gt;0,B103-(B103*In_Out!$D$10),In_Out!$D$7-(In_Out!$D$7*In_Out!$D$10)),0)</f>
        <v>480466.23101564124</v>
      </c>
      <c r="E103" s="8"/>
      <c r="F103" s="6"/>
      <c r="G103" s="5"/>
      <c r="H103" s="52"/>
      <c r="I103" s="52"/>
      <c r="J103" s="51"/>
      <c r="K103" s="51"/>
      <c r="L103" s="9"/>
      <c r="M103" s="9"/>
      <c r="N103" s="37"/>
    </row>
    <row r="104" spans="1:14">
      <c r="A104" s="4"/>
      <c r="B104" s="4"/>
      <c r="C104" s="4"/>
      <c r="D104" s="6"/>
      <c r="E104" s="6"/>
      <c r="F104" s="6"/>
      <c r="G104" s="5"/>
      <c r="H104" s="52"/>
      <c r="I104" s="52"/>
      <c r="J104" s="51"/>
      <c r="K104" s="51"/>
      <c r="L104" s="39"/>
      <c r="M104" s="9"/>
      <c r="N104" s="37"/>
    </row>
    <row r="105" spans="1:14" ht="15" thickBot="1">
      <c r="A105" s="54" t="s">
        <v>81</v>
      </c>
      <c r="B105" s="56">
        <f>SUM(B83:B104)</f>
        <v>12097532.42784524</v>
      </c>
      <c r="C105" s="55">
        <f>(B97-B82)/B82</f>
        <v>0.34586833832412983</v>
      </c>
      <c r="D105" s="56">
        <f>SUM(D83:D104)</f>
        <v>6654103.4364632964</v>
      </c>
      <c r="E105" s="55"/>
      <c r="F105" s="56">
        <f>SUM(F83:F101)</f>
        <v>1763356.4936602772</v>
      </c>
      <c r="G105" s="56">
        <f>SUM(G83:G101)</f>
        <v>783366.41850636411</v>
      </c>
      <c r="H105" s="53">
        <f>SUM(H83:H101)</f>
        <v>979990.07515391323</v>
      </c>
      <c r="I105" s="53">
        <f>H105</f>
        <v>979990.07515391323</v>
      </c>
      <c r="J105" s="53">
        <f>SUM(J82:J97)</f>
        <v>-7594081.1419301676</v>
      </c>
      <c r="K105" s="53">
        <f>K97</f>
        <v>-7594081.1419301676</v>
      </c>
      <c r="L105" s="40"/>
      <c r="M105" s="40"/>
      <c r="N105" s="38"/>
    </row>
    <row r="106" spans="1:14" ht="15" thickTop="1"/>
    <row r="107" spans="1:14">
      <c r="A107" s="1"/>
      <c r="B107" s="1"/>
      <c r="C107" s="1"/>
      <c r="D107" s="1"/>
      <c r="E107" s="1"/>
      <c r="F107" s="1"/>
      <c r="G107" s="1"/>
      <c r="H107" s="1"/>
      <c r="I107" s="1"/>
      <c r="J107" s="16"/>
    </row>
    <row r="108" spans="1:14" ht="18.600000000000001" thickBot="1">
      <c r="A108" s="290" t="s">
        <v>142</v>
      </c>
      <c r="B108" s="290"/>
      <c r="C108" s="290"/>
      <c r="D108" s="290"/>
      <c r="E108" s="290"/>
      <c r="F108" s="22"/>
      <c r="G108" s="1"/>
      <c r="H108" s="1"/>
      <c r="I108" s="1"/>
      <c r="J108" s="16"/>
    </row>
    <row r="109" spans="1:14" ht="43.2">
      <c r="A109" s="24"/>
      <c r="B109" s="34" t="s">
        <v>106</v>
      </c>
      <c r="C109" s="34" t="s">
        <v>156</v>
      </c>
      <c r="D109" s="25" t="s">
        <v>40</v>
      </c>
      <c r="E109" s="26" t="s">
        <v>153</v>
      </c>
      <c r="F109" s="23"/>
    </row>
    <row r="110" spans="1:14" ht="15" thickBot="1">
      <c r="A110" s="29" t="str">
        <f>"Total (Yr. 1-"&amp;In_Out!D12&amp;")"</f>
        <v>Total (Yr. 1-15)</v>
      </c>
      <c r="B110" s="58">
        <f xml:space="preserve"> (VLOOKUP(In_Out!D12,Cashflows!A3:Q18,17,FALSE)-M3)</f>
        <v>8114071.2170840818</v>
      </c>
      <c r="C110" s="58">
        <f xml:space="preserve"> VLOOKUP(In_Out!D12,Cashflows!A53:I74,5,FALSE)</f>
        <v>5591653.4256862029</v>
      </c>
      <c r="D110" s="58">
        <f>Cashflows!G76</f>
        <v>783366.41850636411</v>
      </c>
      <c r="E110" s="59">
        <f xml:space="preserve"> VLOOKUP(In_Out!D12,Cashflows!A53:I74,9,FALSE)</f>
        <v>1739051.3728915132</v>
      </c>
      <c r="F110" s="21"/>
      <c r="G110" s="21"/>
      <c r="H110" s="21"/>
      <c r="I110" s="21"/>
      <c r="J110" s="21"/>
      <c r="K110" s="21"/>
      <c r="L110" s="21"/>
      <c r="M110" s="21"/>
      <c r="N110" s="21"/>
    </row>
    <row r="111" spans="1:14">
      <c r="A111" s="27"/>
      <c r="B111" s="6"/>
      <c r="C111" s="6"/>
      <c r="D111" s="6"/>
      <c r="E111" s="28"/>
    </row>
    <row r="112" spans="1:14">
      <c r="A112" s="27"/>
      <c r="B112" s="6"/>
      <c r="C112" s="6"/>
      <c r="D112" s="6"/>
      <c r="E112" s="28"/>
    </row>
    <row r="113" spans="1:5" ht="28.8">
      <c r="A113" s="27" t="s">
        <v>80</v>
      </c>
      <c r="B113" s="6" t="s">
        <v>18</v>
      </c>
      <c r="C113" s="6" t="s">
        <v>67</v>
      </c>
      <c r="D113" s="6" t="s">
        <v>41</v>
      </c>
      <c r="E113" s="28"/>
    </row>
    <row r="114" spans="1:5">
      <c r="A114" s="31">
        <v>0</v>
      </c>
      <c r="B114" s="9">
        <f>Cashflows!B53</f>
        <v>460000</v>
      </c>
      <c r="C114" s="9">
        <f>Cashflows!F53</f>
        <v>0</v>
      </c>
      <c r="D114" s="32">
        <f t="shared" ref="D114:D129" si="37">C114/B114</f>
        <v>0</v>
      </c>
      <c r="E114" s="28"/>
    </row>
    <row r="115" spans="1:5">
      <c r="A115" s="31">
        <f>Cashflows!A54</f>
        <v>1</v>
      </c>
      <c r="B115" s="9">
        <f>Cashflows!B54</f>
        <v>469200</v>
      </c>
      <c r="C115" s="9">
        <f>Cashflows!F54</f>
        <v>145860</v>
      </c>
      <c r="D115" s="32">
        <f t="shared" si="37"/>
        <v>0.31086956521739129</v>
      </c>
      <c r="E115" s="28"/>
    </row>
    <row r="116" spans="1:5">
      <c r="A116" s="31">
        <f>Cashflows!A55</f>
        <v>2</v>
      </c>
      <c r="B116" s="9">
        <f>Cashflows!B55</f>
        <v>478584</v>
      </c>
      <c r="C116" s="9">
        <f>Cashflows!F55</f>
        <v>148777.19999999995</v>
      </c>
      <c r="D116" s="32">
        <f t="shared" si="37"/>
        <v>0.31086956521739123</v>
      </c>
      <c r="E116" s="28"/>
    </row>
    <row r="117" spans="1:5">
      <c r="A117" s="31">
        <f>Cashflows!A56</f>
        <v>3</v>
      </c>
      <c r="B117" s="9">
        <f>Cashflows!B56</f>
        <v>488155.68</v>
      </c>
      <c r="C117" s="9">
        <f>Cashflows!F56</f>
        <v>151752.74400000001</v>
      </c>
      <c r="D117" s="32">
        <f t="shared" si="37"/>
        <v>0.31086956521739134</v>
      </c>
      <c r="E117" s="28"/>
    </row>
    <row r="118" spans="1:5">
      <c r="A118" s="31">
        <f>Cashflows!A57</f>
        <v>4</v>
      </c>
      <c r="B118" s="9">
        <f>Cashflows!B57</f>
        <v>497918.79359999998</v>
      </c>
      <c r="C118" s="9">
        <f>Cashflows!F57</f>
        <v>154787.79888000002</v>
      </c>
      <c r="D118" s="32">
        <f t="shared" si="37"/>
        <v>0.31086956521739134</v>
      </c>
      <c r="E118" s="28"/>
    </row>
    <row r="119" spans="1:5">
      <c r="A119" s="31">
        <f>Cashflows!A58</f>
        <v>5</v>
      </c>
      <c r="B119" s="9">
        <f>Cashflows!B58</f>
        <v>507877.16947199998</v>
      </c>
      <c r="C119" s="9">
        <f>Cashflows!F58</f>
        <v>157883.55485760001</v>
      </c>
      <c r="D119" s="32">
        <f t="shared" si="37"/>
        <v>0.31086956521739134</v>
      </c>
      <c r="E119" s="28"/>
    </row>
    <row r="120" spans="1:5">
      <c r="A120" s="31">
        <f>Cashflows!A59</f>
        <v>6</v>
      </c>
      <c r="B120" s="9">
        <f>Cashflows!B59</f>
        <v>518034.71286143997</v>
      </c>
      <c r="C120" s="9">
        <f>Cashflows!F59</f>
        <v>161041.22595475201</v>
      </c>
      <c r="D120" s="32">
        <f t="shared" si="37"/>
        <v>0.31086956521739134</v>
      </c>
      <c r="E120" s="28"/>
    </row>
    <row r="121" spans="1:5">
      <c r="A121" s="31">
        <f>Cashflows!A60</f>
        <v>7</v>
      </c>
      <c r="B121" s="9">
        <f>Cashflows!B60</f>
        <v>528395.40711866878</v>
      </c>
      <c r="C121" s="9">
        <f>Cashflows!F60</f>
        <v>164262.05047384702</v>
      </c>
      <c r="D121" s="32">
        <f t="shared" si="37"/>
        <v>0.31086956521739129</v>
      </c>
      <c r="E121" s="28"/>
    </row>
    <row r="122" spans="1:5">
      <c r="A122" s="31">
        <f>Cashflows!A61</f>
        <v>8</v>
      </c>
      <c r="B122" s="9">
        <f>Cashflows!B61</f>
        <v>538963.31526104221</v>
      </c>
      <c r="C122" s="9">
        <f>Cashflows!F61</f>
        <v>167547.29148332402</v>
      </c>
      <c r="D122" s="32">
        <f t="shared" si="37"/>
        <v>0.31086956521739134</v>
      </c>
      <c r="E122" s="28"/>
    </row>
    <row r="123" spans="1:5">
      <c r="A123" s="31">
        <f>Cashflows!A62</f>
        <v>9</v>
      </c>
      <c r="B123" s="9">
        <f>Cashflows!B62</f>
        <v>549742.58156626311</v>
      </c>
      <c r="C123" s="9">
        <f>Cashflows!F62</f>
        <v>170898.23731299047</v>
      </c>
      <c r="D123" s="32">
        <f t="shared" si="37"/>
        <v>0.31086956521739129</v>
      </c>
      <c r="E123" s="28"/>
    </row>
    <row r="124" spans="1:5">
      <c r="A124" s="31">
        <f>Cashflows!A63</f>
        <v>10</v>
      </c>
      <c r="B124" s="9">
        <f>Cashflows!B63</f>
        <v>560737.43319758843</v>
      </c>
      <c r="C124" s="9">
        <f>Cashflows!F63</f>
        <v>174316.20205925032</v>
      </c>
      <c r="D124" s="32">
        <f t="shared" si="37"/>
        <v>0.31086956521739134</v>
      </c>
      <c r="E124" s="28"/>
    </row>
    <row r="125" spans="1:5">
      <c r="A125" s="31">
        <f>Cashflows!A64</f>
        <v>11</v>
      </c>
      <c r="B125" s="9">
        <f>Cashflows!B64</f>
        <v>571952.18186154019</v>
      </c>
      <c r="C125" s="9">
        <f>Cashflows!F64</f>
        <v>177802.52610043529</v>
      </c>
      <c r="D125" s="32">
        <f t="shared" si="37"/>
        <v>0.31086956521739129</v>
      </c>
      <c r="E125" s="28"/>
    </row>
    <row r="126" spans="1:5">
      <c r="A126" s="31">
        <f>Cashflows!A65</f>
        <v>12</v>
      </c>
      <c r="B126" s="9">
        <f>Cashflows!B65</f>
        <v>583391.22549877095</v>
      </c>
      <c r="C126" s="9">
        <f>Cashflows!F65</f>
        <v>181358.57662244397</v>
      </c>
      <c r="D126" s="32">
        <f t="shared" si="37"/>
        <v>0.31086956521739123</v>
      </c>
      <c r="E126" s="28"/>
    </row>
    <row r="127" spans="1:5">
      <c r="A127" s="31">
        <f>Cashflows!A66</f>
        <v>13</v>
      </c>
      <c r="B127" s="9">
        <f>Cashflows!B66</f>
        <v>595059.05000874633</v>
      </c>
      <c r="C127" s="9">
        <f>Cashflows!F66</f>
        <v>184985.74815489288</v>
      </c>
      <c r="D127" s="32">
        <f t="shared" si="37"/>
        <v>0.31086956521739129</v>
      </c>
      <c r="E127" s="28"/>
    </row>
    <row r="128" spans="1:5">
      <c r="A128" s="31">
        <f>Cashflows!A67</f>
        <v>14</v>
      </c>
      <c r="B128" s="9">
        <f>Cashflows!B67</f>
        <v>606960.23100892128</v>
      </c>
      <c r="C128" s="9">
        <f>Cashflows!F67</f>
        <v>188685.46311799076</v>
      </c>
      <c r="D128" s="32">
        <f t="shared" si="37"/>
        <v>0.31086956521739134</v>
      </c>
      <c r="E128" s="28"/>
    </row>
    <row r="129" spans="1:5">
      <c r="A129" s="31">
        <f>Cashflows!A68</f>
        <v>15</v>
      </c>
      <c r="B129" s="9">
        <f>Cashflows!B68</f>
        <v>619099.43562909972</v>
      </c>
      <c r="C129" s="9">
        <f>Cashflows!F68</f>
        <v>192459.17238035053</v>
      </c>
      <c r="D129" s="32">
        <f t="shared" si="37"/>
        <v>0.31086956521739123</v>
      </c>
      <c r="E129" s="28"/>
    </row>
    <row r="130" spans="1:5">
      <c r="A130" s="27"/>
      <c r="B130" s="9"/>
      <c r="C130" s="9"/>
      <c r="D130" s="6"/>
      <c r="E130" s="28"/>
    </row>
    <row r="131" spans="1:5" ht="15" thickBot="1">
      <c r="A131" s="29" t="str">
        <f>A110</f>
        <v>Total (Yr. 1-15)</v>
      </c>
      <c r="B131" s="58">
        <f>SUM(B115:B129)</f>
        <v>8114071.2170840818</v>
      </c>
      <c r="C131" s="58">
        <f>SUM(C115:C129)</f>
        <v>2522417.791397877</v>
      </c>
      <c r="D131" s="33">
        <f>C131/B131</f>
        <v>0.31086956521739123</v>
      </c>
      <c r="E131" s="30"/>
    </row>
  </sheetData>
  <sheetProtection password="9919" sheet="1" objects="1" scenarios="1"/>
  <mergeCells count="23">
    <mergeCell ref="O1:Q1"/>
    <mergeCell ref="C21:F21"/>
    <mergeCell ref="B51:C51"/>
    <mergeCell ref="C50:F50"/>
    <mergeCell ref="C1:E1"/>
    <mergeCell ref="G1:I1"/>
    <mergeCell ref="K1:M1"/>
    <mergeCell ref="A108:E108"/>
    <mergeCell ref="B22:C22"/>
    <mergeCell ref="L53:N55"/>
    <mergeCell ref="L57:N58"/>
    <mergeCell ref="L60:N61"/>
    <mergeCell ref="L24:N26"/>
    <mergeCell ref="C79:F79"/>
    <mergeCell ref="B80:C80"/>
    <mergeCell ref="L82:N84"/>
    <mergeCell ref="L86:N87"/>
    <mergeCell ref="L89:N90"/>
    <mergeCell ref="L29:N32"/>
    <mergeCell ref="H22:H23"/>
    <mergeCell ref="I22:I23"/>
    <mergeCell ref="J22:J23"/>
    <mergeCell ref="K22:K2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2"/>
  <sheetViews>
    <sheetView zoomScale="85" zoomScaleNormal="85" workbookViewId="0">
      <selection activeCell="E24" sqref="E24"/>
    </sheetView>
  </sheetViews>
  <sheetFormatPr defaultRowHeight="14.4"/>
  <cols>
    <col min="1" max="1" width="2.88671875" customWidth="1"/>
    <col min="3" max="3" width="28.88671875" customWidth="1"/>
    <col min="4" max="4" width="14.6640625" bestFit="1" customWidth="1"/>
    <col min="5" max="5" width="72.44140625" bestFit="1" customWidth="1"/>
  </cols>
  <sheetData>
    <row r="1" spans="2:5" ht="26.25" customHeight="1">
      <c r="B1" s="314" t="s">
        <v>175</v>
      </c>
      <c r="C1" s="314"/>
      <c r="D1" s="314"/>
      <c r="E1" s="214"/>
    </row>
    <row r="2" spans="2:5" ht="18">
      <c r="B2" s="312" t="s">
        <v>176</v>
      </c>
      <c r="C2" s="313"/>
      <c r="D2" s="215">
        <f>In_Out!G17</f>
        <v>720640</v>
      </c>
      <c r="E2" s="216" t="str">
        <f>"Includes applicable incentives or down payment of $" &amp;In_Out!H10</f>
        <v>Includes applicable incentives or down payment of $0</v>
      </c>
    </row>
    <row r="3" spans="2:5" ht="18">
      <c r="B3" s="312" t="s">
        <v>178</v>
      </c>
      <c r="C3" s="313"/>
      <c r="D3" s="217">
        <f>In_Out!H21</f>
        <v>0.21</v>
      </c>
      <c r="E3" s="216" t="str">
        <f>"Assumes "&amp;TEXT(In_Out!D11,"0.0%")&amp; " annual utility cost increase"</f>
        <v>Assumes 2.0% annual utility cost increase</v>
      </c>
    </row>
    <row r="4" spans="2:5" ht="18">
      <c r="B4" s="312" t="s">
        <v>126</v>
      </c>
      <c r="C4" s="313"/>
      <c r="D4" s="218">
        <f>In_Out!I17</f>
        <v>5.0394405594405596</v>
      </c>
      <c r="E4" s="216" t="s">
        <v>179</v>
      </c>
    </row>
    <row r="5" spans="2:5" ht="18">
      <c r="B5" s="312" t="s">
        <v>180</v>
      </c>
      <c r="C5" s="313"/>
      <c r="D5" s="215">
        <f>In_Out!H17/2</f>
        <v>84080.593046595895</v>
      </c>
      <c r="E5" s="216" t="s">
        <v>181</v>
      </c>
    </row>
    <row r="6" spans="2:5" ht="18">
      <c r="B6" s="312" t="s">
        <v>177</v>
      </c>
      <c r="C6" s="313"/>
      <c r="D6" s="215">
        <f>In_Out!C20</f>
        <v>1739051.3728915132</v>
      </c>
      <c r="E6" s="216" t="str">
        <f>"Assumes loan and immediate action, with " &amp;In_Out!D12&amp; " year equipment life"</f>
        <v>Assumes loan and immediate action, with 15 year equipment life</v>
      </c>
    </row>
    <row r="7" spans="2:5" ht="18">
      <c r="B7" s="220" t="s">
        <v>184</v>
      </c>
      <c r="C7" s="221"/>
      <c r="D7" s="215"/>
      <c r="E7" s="216"/>
    </row>
    <row r="8" spans="2:5" ht="18">
      <c r="B8" s="220"/>
      <c r="C8" s="221" t="s">
        <v>186</v>
      </c>
      <c r="D8" s="215">
        <f>AVERAGE(Cashflows!H54:H59)</f>
        <v>22789.350864331314</v>
      </c>
      <c r="E8" s="216" t="s">
        <v>183</v>
      </c>
    </row>
    <row r="9" spans="2:5" ht="34.950000000000003" customHeight="1">
      <c r="B9" s="220"/>
      <c r="C9" s="221" t="s">
        <v>185</v>
      </c>
      <c r="D9" s="215">
        <f>In_Out!H17</f>
        <v>168161.18609319179</v>
      </c>
      <c r="E9" s="222" t="s">
        <v>187</v>
      </c>
    </row>
    <row r="22" spans="5:5">
      <c r="E22" s="219"/>
    </row>
  </sheetData>
  <sheetProtection password="9919" sheet="1" objects="1" scenarios="1"/>
  <mergeCells count="6">
    <mergeCell ref="B5:C5"/>
    <mergeCell ref="B1:D1"/>
    <mergeCell ref="B2:C2"/>
    <mergeCell ref="B6:C6"/>
    <mergeCell ref="B3:C3"/>
    <mergeCell ref="B4: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In_Out</vt:lpstr>
      <vt:lpstr>Graphics</vt:lpstr>
      <vt:lpstr>Calculations</vt:lpstr>
      <vt:lpstr>Cashflows</vt:lpstr>
      <vt:lpstr>Sheet1</vt:lpstr>
      <vt:lpstr>Sheet2</vt:lpstr>
      <vt:lpstr>Investment Analysis</vt:lpstr>
    </vt:vector>
  </TitlesOfParts>
  <Company>Alaska Housing Finance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AHFC Cash Flow Calculator</dc:title>
  <dc:creator>Scott Waterman;Tim Leach</dc:creator>
  <cp:lastModifiedBy>Timothy Leach</cp:lastModifiedBy>
  <dcterms:created xsi:type="dcterms:W3CDTF">2013-10-29T19:18:38Z</dcterms:created>
  <dcterms:modified xsi:type="dcterms:W3CDTF">2016-01-04T18:59:53Z</dcterms:modified>
</cp:coreProperties>
</file>